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8" windowWidth="13716" windowHeight="11652" tabRatio="698" activeTab="0"/>
  </bookViews>
  <sheets>
    <sheet name="квітень" sheetId="1" r:id="rId1"/>
  </sheets>
  <definedNames>
    <definedName name="_xlnm.Print_Area" localSheetId="0">'квітень'!$A$1:$AA$85</definedName>
  </definedNames>
  <calcPr fullCalcOnLoad="1"/>
</workbook>
</file>

<file path=xl/sharedStrings.xml><?xml version="1.0" encoding="utf-8"?>
<sst xmlns="http://schemas.openxmlformats.org/spreadsheetml/2006/main" count="90" uniqueCount="45">
  <si>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</si>
  <si>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</si>
  <si>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</si>
  <si>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</si>
  <si>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</si>
  <si>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</si>
  <si>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</si>
  <si>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</si>
  <si>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</si>
  <si>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</si>
  <si>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</si>
  <si>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</si>
  <si>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</si>
  <si>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</si>
  <si>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</si>
  <si>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</si>
  <si>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</si>
  <si>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</si>
  <si>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</si>
  <si>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</si>
  <si>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</si>
  <si>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інші поточні видатки</t>
  </si>
  <si>
    <t>Резвервний фонд</t>
  </si>
  <si>
    <t>Показник</t>
  </si>
  <si>
    <t>ВСЬОГО</t>
  </si>
  <si>
    <t>Терцентри</t>
  </si>
  <si>
    <t>Доходи до розрахунку</t>
  </si>
  <si>
    <t>Позика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</si>
  <si>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</si>
  <si>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</si>
  <si>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</si>
  <si>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</si>
  <si>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</si>
  <si>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Стабілізаційна дотація</t>
  </si>
  <si>
    <t xml:space="preserve">Соц.захист 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</si>
  <si>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</si>
  <si>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</si>
  <si>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</si>
  <si>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</si>
  <si>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</si>
  <si>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</si>
  <si>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</si>
  <si>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Субвенція ДБ і ОБ</t>
  </si>
  <si>
    <t>по міському бюджету м.Черкаси у КВІТЕНЬ 2020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</si>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</sst>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0.000"/>
    <numFmt numFmtId="206" formatCode="0.0000"/>
    <numFmt numFmtId="207" formatCode="0.0%"/>
    <numFmt numFmtId="208" formatCode="#,##0.0"/>
    <numFmt numFmtId="209" formatCode="#0.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204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20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04" fontId="9" fillId="0" borderId="0" xfId="0" applyNumberFormat="1" applyFont="1" applyAlignment="1">
      <alignment/>
    </xf>
    <xf numFmtId="20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204" fontId="1" fillId="33" borderId="0" xfId="0" applyNumberFormat="1" applyFont="1" applyFill="1" applyAlignment="1">
      <alignment/>
    </xf>
    <xf numFmtId="204" fontId="0" fillId="33" borderId="0" xfId="0" applyNumberFormat="1" applyFill="1" applyAlignment="1">
      <alignment/>
    </xf>
    <xf numFmtId="204" fontId="10" fillId="0" borderId="10" xfId="0" applyNumberFormat="1" applyFont="1" applyBorder="1" applyAlignment="1">
      <alignment/>
    </xf>
    <xf numFmtId="204" fontId="2" fillId="0" borderId="10" xfId="0" applyNumberFormat="1" applyFont="1" applyBorder="1" applyAlignment="1">
      <alignment shrinkToFit="1"/>
    </xf>
    <xf numFmtId="204" fontId="10" fillId="0" borderId="1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4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204" fontId="2" fillId="0" borderId="0" xfId="0" applyNumberFormat="1" applyFont="1" applyAlignment="1">
      <alignment/>
    </xf>
    <xf numFmtId="0" fontId="14" fillId="0" borderId="0" xfId="0" applyFont="1" applyAlignment="1">
      <alignment/>
    </xf>
    <xf numFmtId="204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/>
    </xf>
    <xf numFmtId="204" fontId="10" fillId="0" borderId="10" xfId="0" applyNumberFormat="1" applyFont="1" applyBorder="1" applyAlignment="1">
      <alignment/>
    </xf>
    <xf numFmtId="204" fontId="10" fillId="0" borderId="10" xfId="0" applyNumberFormat="1" applyFont="1" applyBorder="1" applyAlignment="1">
      <alignment horizontal="center" vertical="center" wrapText="1"/>
    </xf>
    <xf numFmtId="204" fontId="10" fillId="0" borderId="10" xfId="0" applyNumberFormat="1" applyFont="1" applyBorder="1" applyAlignment="1">
      <alignment horizontal="center" vertical="center"/>
    </xf>
    <xf numFmtId="204" fontId="10" fillId="33" borderId="10" xfId="0" applyNumberFormat="1" applyFont="1" applyFill="1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 wrapText="1"/>
    </xf>
    <xf numFmtId="204" fontId="5" fillId="0" borderId="0" xfId="0" applyNumberFormat="1" applyFont="1" applyAlignment="1">
      <alignment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204" fontId="0" fillId="0" borderId="0" xfId="0" applyNumberFormat="1" applyFont="1" applyFill="1" applyAlignment="1">
      <alignment/>
    </xf>
    <xf numFmtId="0" fontId="19" fillId="0" borderId="10" xfId="0" applyFont="1" applyBorder="1" applyAlignment="1">
      <alignment wrapText="1"/>
    </xf>
    <xf numFmtId="20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04" fontId="2" fillId="0" borderId="10" xfId="0" applyNumberFormat="1" applyFont="1" applyBorder="1" applyAlignment="1">
      <alignment horizontal="center" vertical="center" wrapText="1"/>
    </xf>
    <xf numFmtId="204" fontId="10" fillId="0" borderId="0" xfId="0" applyNumberFormat="1" applyFont="1" applyAlignment="1">
      <alignment/>
    </xf>
    <xf numFmtId="204" fontId="10" fillId="0" borderId="0" xfId="0" applyNumberFormat="1" applyFont="1" applyAlignment="1">
      <alignment horizontal="center"/>
    </xf>
    <xf numFmtId="204" fontId="21" fillId="0" borderId="0" xfId="0" applyNumberFormat="1" applyFont="1" applyAlignment="1">
      <alignment/>
    </xf>
    <xf numFmtId="204" fontId="0" fillId="0" borderId="0" xfId="0" applyNumberFormat="1" applyAlignment="1">
      <alignment horizontal="right" vertical="center"/>
    </xf>
    <xf numFmtId="208" fontId="0" fillId="0" borderId="10" xfId="0" applyNumberFormat="1" applyBorder="1" applyAlignment="1">
      <alignment/>
    </xf>
    <xf numFmtId="208" fontId="10" fillId="0" borderId="10" xfId="0" applyNumberFormat="1" applyFont="1" applyBorder="1" applyAlignment="1">
      <alignment horizontal="center"/>
    </xf>
    <xf numFmtId="208" fontId="10" fillId="0" borderId="10" xfId="0" applyNumberFormat="1" applyFont="1" applyBorder="1" applyAlignment="1">
      <alignment horizontal="center" shrinkToFit="1"/>
    </xf>
    <xf numFmtId="208" fontId="10" fillId="33" borderId="10" xfId="0" applyNumberFormat="1" applyFont="1" applyFill="1" applyBorder="1" applyAlignment="1">
      <alignment horizontal="center" shrinkToFit="1"/>
    </xf>
    <xf numFmtId="208" fontId="13" fillId="33" borderId="10" xfId="0" applyNumberFormat="1" applyFont="1" applyFill="1" applyBorder="1" applyAlignment="1">
      <alignment horizontal="center" shrinkToFit="1"/>
    </xf>
    <xf numFmtId="208" fontId="2" fillId="0" borderId="10" xfId="0" applyNumberFormat="1" applyFont="1" applyBorder="1" applyAlignment="1">
      <alignment shrinkToFit="1"/>
    </xf>
    <xf numFmtId="208" fontId="2" fillId="0" borderId="10" xfId="0" applyNumberFormat="1" applyFont="1" applyBorder="1" applyAlignment="1">
      <alignment horizontal="center"/>
    </xf>
    <xf numFmtId="208" fontId="10" fillId="0" borderId="10" xfId="0" applyNumberFormat="1" applyFont="1" applyBorder="1" applyAlignment="1">
      <alignment/>
    </xf>
    <xf numFmtId="208" fontId="2" fillId="0" borderId="10" xfId="0" applyNumberFormat="1" applyFont="1" applyBorder="1" applyAlignment="1">
      <alignment shrinkToFit="1"/>
    </xf>
    <xf numFmtId="208" fontId="2" fillId="0" borderId="10" xfId="0" applyNumberFormat="1" applyFont="1" applyFill="1" applyBorder="1" applyAlignment="1">
      <alignment shrinkToFit="1"/>
    </xf>
    <xf numFmtId="208" fontId="10" fillId="33" borderId="10" xfId="0" applyNumberFormat="1" applyFont="1" applyFill="1" applyBorder="1" applyAlignment="1">
      <alignment horizontal="right"/>
    </xf>
    <xf numFmtId="208" fontId="10" fillId="0" borderId="10" xfId="0" applyNumberFormat="1" applyFont="1" applyFill="1" applyBorder="1" applyAlignment="1">
      <alignment/>
    </xf>
    <xf numFmtId="208" fontId="10" fillId="33" borderId="10" xfId="0" applyNumberFormat="1" applyFont="1" applyFill="1" applyBorder="1" applyAlignment="1">
      <alignment/>
    </xf>
    <xf numFmtId="208" fontId="10" fillId="0" borderId="10" xfId="0" applyNumberFormat="1" applyFont="1" applyBorder="1" applyAlignment="1">
      <alignment/>
    </xf>
    <xf numFmtId="208" fontId="20" fillId="0" borderId="10" xfId="0" applyNumberFormat="1" applyFont="1" applyBorder="1" applyAlignment="1">
      <alignment/>
    </xf>
    <xf numFmtId="208" fontId="20" fillId="0" borderId="10" xfId="0" applyNumberFormat="1" applyFont="1" applyBorder="1" applyAlignment="1">
      <alignment/>
    </xf>
    <xf numFmtId="208" fontId="20" fillId="33" borderId="10" xfId="0" applyNumberFormat="1" applyFont="1" applyFill="1" applyBorder="1" applyAlignment="1">
      <alignment/>
    </xf>
    <xf numFmtId="208" fontId="20" fillId="0" borderId="10" xfId="0" applyNumberFormat="1" applyFont="1" applyFill="1" applyBorder="1" applyAlignment="1">
      <alignment/>
    </xf>
    <xf numFmtId="208" fontId="20" fillId="0" borderId="10" xfId="0" applyNumberFormat="1" applyFont="1" applyFill="1" applyBorder="1" applyAlignment="1">
      <alignment/>
    </xf>
    <xf numFmtId="208" fontId="10" fillId="0" borderId="10" xfId="0" applyNumberFormat="1" applyFont="1" applyBorder="1" applyAlignment="1">
      <alignment horizontal="right" vertical="center"/>
    </xf>
    <xf numFmtId="208" fontId="10" fillId="33" borderId="10" xfId="0" applyNumberFormat="1" applyFont="1" applyFill="1" applyBorder="1" applyAlignment="1">
      <alignment horizontal="right" vertical="center"/>
    </xf>
    <xf numFmtId="208" fontId="10" fillId="0" borderId="10" xfId="0" applyNumberFormat="1" applyFont="1" applyFill="1" applyBorder="1" applyAlignment="1">
      <alignment horizontal="right" vertical="center"/>
    </xf>
    <xf numFmtId="208" fontId="2" fillId="0" borderId="10" xfId="0" applyNumberFormat="1" applyFont="1" applyBorder="1" applyAlignment="1">
      <alignment/>
    </xf>
    <xf numFmtId="208" fontId="2" fillId="0" borderId="10" xfId="0" applyNumberFormat="1" applyFont="1" applyFill="1" applyBorder="1" applyAlignment="1">
      <alignment/>
    </xf>
    <xf numFmtId="208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204" fontId="2" fillId="33" borderId="10" xfId="0" applyNumberFormat="1" applyFont="1" applyFill="1" applyBorder="1" applyAlignment="1">
      <alignment horizontal="center" vertical="center" wrapText="1"/>
    </xf>
    <xf numFmtId="204" fontId="2" fillId="33" borderId="10" xfId="0" applyNumberFormat="1" applyFont="1" applyFill="1" applyBorder="1" applyAlignment="1">
      <alignment horizontal="center"/>
    </xf>
    <xf numFmtId="208" fontId="20" fillId="33" borderId="10" xfId="0" applyNumberFormat="1" applyFont="1" applyFill="1" applyBorder="1" applyAlignment="1">
      <alignment/>
    </xf>
    <xf numFmtId="208" fontId="10" fillId="33" borderId="10" xfId="0" applyNumberFormat="1" applyFont="1" applyFill="1" applyBorder="1" applyAlignment="1">
      <alignment vertical="center"/>
    </xf>
    <xf numFmtId="208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204" fontId="10" fillId="33" borderId="0" xfId="0" applyNumberFormat="1" applyFont="1" applyFill="1" applyAlignment="1">
      <alignment/>
    </xf>
    <xf numFmtId="204" fontId="17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2"/>
  <sheetViews>
    <sheetView tabSelected="1" zoomScale="75" zoomScaleNormal="75" zoomScalePageLayoutView="0" workbookViewId="0" topLeftCell="A1">
      <pane xSplit="3" ySplit="9" topLeftCell="D3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11.50390625" style="0" customWidth="1"/>
    <col min="10" max="10" width="11.125" style="18" customWidth="1"/>
    <col min="11" max="11" width="10.00390625" style="0" bestFit="1" customWidth="1"/>
    <col min="13" max="13" width="12.375" style="18" customWidth="1"/>
    <col min="14" max="14" width="13.00390625" style="0" customWidth="1"/>
    <col min="15" max="15" width="9.375" style="0" customWidth="1"/>
    <col min="16" max="17" width="8.375" style="0" customWidth="1"/>
    <col min="18" max="18" width="9.00390625" style="0" customWidth="1"/>
    <col min="19" max="19" width="12.125" style="18" customWidth="1"/>
    <col min="20" max="20" width="9.375" style="18" customWidth="1"/>
    <col min="21" max="21" width="11.125" style="0" customWidth="1"/>
    <col min="22" max="22" width="11.00390625" style="0" customWidth="1"/>
    <col min="24" max="24" width="11.625" style="18" customWidth="1"/>
    <col min="25" max="26" width="10.375" style="0" customWidth="1"/>
    <col min="27" max="27" width="14.875" style="0" customWidth="1"/>
    <col min="28" max="28" width="9.375" style="0" bestFit="1" customWidth="1"/>
  </cols>
  <sheetData>
    <row r="1" spans="1:27" ht="21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ht="22.5" customHeight="1">
      <c r="A2" s="92" t="s">
        <v>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27" ht="17.25" customHeight="1">
      <c r="B3" s="15"/>
      <c r="C3" s="15"/>
      <c r="D3" s="15"/>
      <c r="AA3" s="13" t="s">
        <v>17</v>
      </c>
    </row>
    <row r="4" spans="1:27" ht="62.25">
      <c r="A4" s="33" t="s">
        <v>23</v>
      </c>
      <c r="B4" s="9" t="s">
        <v>44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19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9" t="s">
        <v>19</v>
      </c>
      <c r="Z4" s="10" t="s">
        <v>13</v>
      </c>
      <c r="AA4" s="10" t="s">
        <v>20</v>
      </c>
    </row>
    <row r="5" spans="1:27" ht="15" hidden="1">
      <c r="A5" s="45" t="s">
        <v>33</v>
      </c>
      <c r="B5" s="52">
        <f>SUM(D5:X5)</f>
        <v>0</v>
      </c>
      <c r="C5" s="52"/>
      <c r="D5" s="36"/>
      <c r="E5" s="37"/>
      <c r="F5" s="37"/>
      <c r="G5" s="37"/>
      <c r="H5" s="37"/>
      <c r="I5" s="37"/>
      <c r="J5" s="38"/>
      <c r="K5" s="37"/>
      <c r="L5" s="37"/>
      <c r="M5" s="38"/>
      <c r="N5" s="37"/>
      <c r="O5" s="37"/>
      <c r="P5" s="37"/>
      <c r="Q5" s="37"/>
      <c r="R5" s="37"/>
      <c r="S5" s="38"/>
      <c r="T5" s="38"/>
      <c r="U5" s="37"/>
      <c r="V5" s="37"/>
      <c r="W5" s="37"/>
      <c r="X5" s="38"/>
      <c r="Y5" s="52"/>
      <c r="Z5" s="39"/>
      <c r="AA5" s="39"/>
    </row>
    <row r="6" spans="1:27" ht="15" hidden="1">
      <c r="A6" s="45" t="s">
        <v>27</v>
      </c>
      <c r="B6" s="32">
        <f>SUM(D6:X6)</f>
        <v>0</v>
      </c>
      <c r="C6" s="36"/>
      <c r="D6" s="36"/>
      <c r="E6" s="37"/>
      <c r="F6" s="37"/>
      <c r="G6" s="37"/>
      <c r="H6" s="37"/>
      <c r="I6" s="37"/>
      <c r="J6" s="38"/>
      <c r="K6" s="37"/>
      <c r="L6" s="37"/>
      <c r="M6" s="38"/>
      <c r="N6" s="37"/>
      <c r="O6" s="37"/>
      <c r="P6" s="37"/>
      <c r="Q6" s="37"/>
      <c r="R6" s="37"/>
      <c r="S6" s="38"/>
      <c r="T6" s="38"/>
      <c r="U6" s="37"/>
      <c r="V6" s="37"/>
      <c r="W6" s="37"/>
      <c r="X6" s="38"/>
      <c r="Y6" s="36"/>
      <c r="Z6" s="39"/>
      <c r="AA6" s="39"/>
    </row>
    <row r="7" spans="1:27" ht="15">
      <c r="A7" s="45" t="s">
        <v>29</v>
      </c>
      <c r="B7" s="32">
        <f>SUM(D7:X7)</f>
        <v>27678.6</v>
      </c>
      <c r="C7" s="83">
        <v>1700.3000000000102</v>
      </c>
      <c r="D7" s="36"/>
      <c r="E7" s="37">
        <v>13839.3</v>
      </c>
      <c r="F7" s="37"/>
      <c r="G7" s="37"/>
      <c r="H7" s="54"/>
      <c r="I7" s="37"/>
      <c r="J7" s="38"/>
      <c r="K7" s="37"/>
      <c r="L7" s="37"/>
      <c r="M7" s="38">
        <v>13839.3</v>
      </c>
      <c r="N7" s="37"/>
      <c r="O7" s="37"/>
      <c r="P7" s="37"/>
      <c r="Q7" s="37"/>
      <c r="R7" s="37"/>
      <c r="S7" s="38"/>
      <c r="T7" s="38"/>
      <c r="U7" s="37"/>
      <c r="V7" s="37"/>
      <c r="W7" s="37"/>
      <c r="X7" s="38"/>
      <c r="Y7" s="52">
        <f>C7+E7+M7-Z15-Z23</f>
        <v>1938.0000000000073</v>
      </c>
      <c r="Z7" s="52"/>
      <c r="AA7" s="39"/>
    </row>
    <row r="8" spans="1:49" ht="18" customHeight="1">
      <c r="A8" s="46" t="s">
        <v>26</v>
      </c>
      <c r="B8" s="32">
        <f>SUM(D8:X8)</f>
        <v>143464.19</v>
      </c>
      <c r="C8" s="84">
        <v>66119.60000000003</v>
      </c>
      <c r="D8" s="57">
        <v>8839.2</v>
      </c>
      <c r="E8" s="58">
        <v>3137.4</v>
      </c>
      <c r="F8" s="59">
        <v>3382.6</v>
      </c>
      <c r="G8" s="59">
        <v>6467.4</v>
      </c>
      <c r="H8" s="59">
        <v>7630.8</v>
      </c>
      <c r="I8" s="59">
        <v>16081.5</v>
      </c>
      <c r="J8" s="59">
        <v>4678.3</v>
      </c>
      <c r="K8" s="60">
        <v>2678.3</v>
      </c>
      <c r="L8" s="59">
        <v>2961.4</v>
      </c>
      <c r="M8" s="60">
        <v>3559.9</v>
      </c>
      <c r="N8" s="59">
        <v>3844.8</v>
      </c>
      <c r="O8" s="59">
        <v>12454</v>
      </c>
      <c r="P8" s="59">
        <v>8030.3</v>
      </c>
      <c r="Q8" s="59">
        <v>11239.1</v>
      </c>
      <c r="R8" s="59">
        <v>6478.3</v>
      </c>
      <c r="S8" s="61">
        <v>6863.2</v>
      </c>
      <c r="T8" s="61">
        <v>5063.3</v>
      </c>
      <c r="U8" s="59">
        <v>5826.3</v>
      </c>
      <c r="V8" s="59">
        <v>8103.8</v>
      </c>
      <c r="W8" s="59">
        <v>6218.99</v>
      </c>
      <c r="X8" s="60">
        <v>9925.3</v>
      </c>
      <c r="Y8" s="62">
        <f>SUM(D8:X8)+C8-Z9+Z15+Z23</f>
        <v>29715.19000000001</v>
      </c>
      <c r="Z8" s="63"/>
      <c r="AA8" s="64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29" s="5" customFormat="1" ht="15">
      <c r="A9" s="46" t="s">
        <v>14</v>
      </c>
      <c r="B9" s="23">
        <f>B10+B14+B22+B31+B44+B49+B51+B57+B58+B65+B66+B70+B73+B74+B64+B75+B76+B77+B38+B78</f>
        <v>225993.99999999988</v>
      </c>
      <c r="C9" s="23">
        <f>C10+C14+C22+C31+C44+C49+C51+C57+C58+C65+C66+C70+C73+C74+C64+C75+C76+C77+C38+C78</f>
        <v>89152.2</v>
      </c>
      <c r="D9" s="65">
        <f aca="true" t="shared" si="0" ref="D9:W9">D10+D14+D22+D31+D44+D49+D51+D57+D58+D65+D66+D70+D73+D74+D64+D75+D76+D77+D38+D78</f>
        <v>6153.799999999999</v>
      </c>
      <c r="E9" s="65">
        <f t="shared" si="0"/>
        <v>21382.2</v>
      </c>
      <c r="F9" s="65">
        <f t="shared" si="0"/>
        <v>183.9</v>
      </c>
      <c r="G9" s="65">
        <f t="shared" si="0"/>
        <v>1188.1</v>
      </c>
      <c r="H9" s="65">
        <f t="shared" si="0"/>
        <v>0</v>
      </c>
      <c r="I9" s="65">
        <f t="shared" si="0"/>
        <v>22610</v>
      </c>
      <c r="J9" s="65">
        <f t="shared" si="0"/>
        <v>16965</v>
      </c>
      <c r="K9" s="65">
        <f t="shared" si="0"/>
        <v>3616</v>
      </c>
      <c r="L9" s="65">
        <f t="shared" si="0"/>
        <v>1299.1000000000001</v>
      </c>
      <c r="M9" s="65">
        <f t="shared" si="0"/>
        <v>34926.4</v>
      </c>
      <c r="N9" s="65">
        <f t="shared" si="0"/>
        <v>10863.2</v>
      </c>
      <c r="O9" s="65">
        <f t="shared" si="0"/>
        <v>3032.6</v>
      </c>
      <c r="P9" s="65">
        <f t="shared" si="0"/>
        <v>4545.8</v>
      </c>
      <c r="Q9" s="65">
        <f t="shared" si="0"/>
        <v>0</v>
      </c>
      <c r="R9" s="65">
        <f t="shared" si="0"/>
        <v>11252.9</v>
      </c>
      <c r="S9" s="65">
        <f t="shared" si="0"/>
        <v>36609.1</v>
      </c>
      <c r="T9" s="65">
        <f t="shared" si="0"/>
        <v>13974.5</v>
      </c>
      <c r="U9" s="65">
        <f t="shared" si="0"/>
        <v>4308.4</v>
      </c>
      <c r="V9" s="65">
        <f t="shared" si="0"/>
        <v>8217.300000000001</v>
      </c>
      <c r="W9" s="65">
        <f t="shared" si="0"/>
        <v>2967.9</v>
      </c>
      <c r="X9" s="65">
        <f>X10+X14+X22+X31+X44+X49+X51+X57+X58+X65+X66+X70+X73+X74+X64+X75+X76+X77+X38+X78</f>
        <v>3213.3</v>
      </c>
      <c r="Y9" s="65"/>
      <c r="Z9" s="65">
        <f>Z10+Z14+Z22+Z31+Z44+Z49+Z51+Z57+Z58+Z65+Z66+Z70+Z73+Z74+Z64+Z75+Z76+Z77+Z38+Z78</f>
        <v>207309.50000000003</v>
      </c>
      <c r="AA9" s="66">
        <f>AA10+AA14+AA22+AA31+AA44+AA49+AA51+AA57+AA58+AA65+AA66+AA70+AA73+AA74+AA64+AA75+AA77+AA76+AA38+AA78</f>
        <v>107836.69999999987</v>
      </c>
      <c r="AB9" s="40"/>
      <c r="AC9" s="40"/>
    </row>
    <row r="10" spans="1:27" ht="15">
      <c r="A10" s="4" t="s">
        <v>4</v>
      </c>
      <c r="B10" s="22">
        <f>19766.8+42.6</f>
        <v>19809.399999999998</v>
      </c>
      <c r="C10" s="64">
        <v>4254.500000000004</v>
      </c>
      <c r="D10" s="64">
        <v>615.5</v>
      </c>
      <c r="E10" s="64"/>
      <c r="F10" s="64"/>
      <c r="G10" s="64"/>
      <c r="H10" s="64"/>
      <c r="I10" s="64">
        <v>1914.1</v>
      </c>
      <c r="J10" s="67"/>
      <c r="K10" s="64">
        <v>880.8</v>
      </c>
      <c r="L10" s="64">
        <v>444.6</v>
      </c>
      <c r="M10" s="69">
        <v>4289.3</v>
      </c>
      <c r="N10" s="64">
        <v>164.1</v>
      </c>
      <c r="O10" s="68">
        <v>1.7</v>
      </c>
      <c r="P10" s="64">
        <v>20.6</v>
      </c>
      <c r="Q10" s="64"/>
      <c r="R10" s="64">
        <v>101.6</v>
      </c>
      <c r="S10" s="69"/>
      <c r="T10" s="69">
        <v>6533.2</v>
      </c>
      <c r="U10" s="69">
        <v>2807.7</v>
      </c>
      <c r="V10" s="69">
        <v>971.2</v>
      </c>
      <c r="W10" s="69">
        <v>14.4</v>
      </c>
      <c r="X10" s="64"/>
      <c r="Y10" s="64"/>
      <c r="Z10" s="64">
        <f>SUM(D10:X10)</f>
        <v>18758.800000000003</v>
      </c>
      <c r="AA10" s="69">
        <f>B10+C10-Z10</f>
        <v>5305.0999999999985</v>
      </c>
    </row>
    <row r="11" spans="1:27" ht="15">
      <c r="A11" s="3" t="s">
        <v>5</v>
      </c>
      <c r="B11" s="22">
        <f>18915.1+59</f>
        <v>18974.1</v>
      </c>
      <c r="C11" s="64">
        <v>2197.4999999999964</v>
      </c>
      <c r="D11" s="64">
        <v>615.5</v>
      </c>
      <c r="E11" s="64"/>
      <c r="F11" s="64"/>
      <c r="G11" s="64"/>
      <c r="H11" s="64"/>
      <c r="I11" s="64">
        <v>1803.7</v>
      </c>
      <c r="J11" s="69"/>
      <c r="K11" s="64">
        <v>880.8</v>
      </c>
      <c r="L11" s="64">
        <v>444.6</v>
      </c>
      <c r="M11" s="69">
        <v>4289.3</v>
      </c>
      <c r="N11" s="64"/>
      <c r="O11" s="68">
        <v>1.7</v>
      </c>
      <c r="P11" s="64"/>
      <c r="Q11" s="64"/>
      <c r="R11" s="64"/>
      <c r="S11" s="69"/>
      <c r="T11" s="69">
        <v>6533.2</v>
      </c>
      <c r="U11" s="69">
        <v>2807.7</v>
      </c>
      <c r="V11" s="69">
        <v>971.2</v>
      </c>
      <c r="W11" s="69"/>
      <c r="X11" s="64"/>
      <c r="Y11" s="64"/>
      <c r="Z11" s="64">
        <f>SUM(D11:X11)</f>
        <v>18347.7</v>
      </c>
      <c r="AA11" s="69">
        <f>B11+C11-Z11</f>
        <v>2823.899999999994</v>
      </c>
    </row>
    <row r="12" spans="1:27" ht="15">
      <c r="A12" s="3" t="s">
        <v>2</v>
      </c>
      <c r="B12" s="28">
        <v>4.100000000000001</v>
      </c>
      <c r="C12" s="64">
        <v>10</v>
      </c>
      <c r="D12" s="64"/>
      <c r="E12" s="64"/>
      <c r="F12" s="64"/>
      <c r="G12" s="64"/>
      <c r="H12" s="64"/>
      <c r="I12" s="64"/>
      <c r="J12" s="69"/>
      <c r="K12" s="64"/>
      <c r="L12" s="64"/>
      <c r="M12" s="69"/>
      <c r="N12" s="64"/>
      <c r="O12" s="68"/>
      <c r="P12" s="64"/>
      <c r="Q12" s="64"/>
      <c r="R12" s="64"/>
      <c r="S12" s="69"/>
      <c r="T12" s="69"/>
      <c r="U12" s="69"/>
      <c r="V12" s="69"/>
      <c r="W12" s="69"/>
      <c r="X12" s="64"/>
      <c r="Y12" s="64"/>
      <c r="Z12" s="64">
        <f>SUM(D12:X12)</f>
        <v>0</v>
      </c>
      <c r="AA12" s="69">
        <f>B12+C12-Z12</f>
        <v>14.100000000000001</v>
      </c>
    </row>
    <row r="13" spans="1:27" ht="15">
      <c r="A13" s="3" t="s">
        <v>21</v>
      </c>
      <c r="B13" s="22">
        <f>B10-B11-B12</f>
        <v>831.1999999999992</v>
      </c>
      <c r="C13" s="64">
        <v>2047.0000000000073</v>
      </c>
      <c r="D13" s="64">
        <f>D10-D11-D12</f>
        <v>0</v>
      </c>
      <c r="E13" s="64">
        <f aca="true" t="shared" si="1" ref="E13:X13">E10-E11-E12</f>
        <v>0</v>
      </c>
      <c r="F13" s="64">
        <f t="shared" si="1"/>
        <v>0</v>
      </c>
      <c r="G13" s="64">
        <f t="shared" si="1"/>
        <v>0</v>
      </c>
      <c r="H13" s="64">
        <f t="shared" si="1"/>
        <v>0</v>
      </c>
      <c r="I13" s="64">
        <f t="shared" si="1"/>
        <v>110.39999999999986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164.1</v>
      </c>
      <c r="O13" s="64">
        <f t="shared" si="1"/>
        <v>0</v>
      </c>
      <c r="P13" s="64">
        <f t="shared" si="1"/>
        <v>20.6</v>
      </c>
      <c r="Q13" s="64">
        <f t="shared" si="1"/>
        <v>0</v>
      </c>
      <c r="R13" s="64">
        <f t="shared" si="1"/>
        <v>101.6</v>
      </c>
      <c r="S13" s="64">
        <f t="shared" si="1"/>
        <v>0</v>
      </c>
      <c r="T13" s="64">
        <f t="shared" si="1"/>
        <v>0</v>
      </c>
      <c r="U13" s="64">
        <f t="shared" si="1"/>
        <v>0</v>
      </c>
      <c r="V13" s="64">
        <f t="shared" si="1"/>
        <v>0</v>
      </c>
      <c r="W13" s="64">
        <f t="shared" si="1"/>
        <v>14.4</v>
      </c>
      <c r="X13" s="64">
        <f t="shared" si="1"/>
        <v>0</v>
      </c>
      <c r="Y13" s="64"/>
      <c r="Z13" s="68">
        <f>SUM(D13:X13)</f>
        <v>411.0999999999999</v>
      </c>
      <c r="AA13" s="69">
        <f>AA10-AA11-AA12</f>
        <v>2467.1000000000045</v>
      </c>
    </row>
    <row r="14" spans="1:27" ht="15" customHeight="1">
      <c r="A14" s="4" t="s">
        <v>6</v>
      </c>
      <c r="B14" s="22">
        <f>83411.3999999999+1208*2</f>
        <v>85827.3999999999</v>
      </c>
      <c r="C14" s="64">
        <v>20551.39999999998</v>
      </c>
      <c r="D14" s="70">
        <v>38.8</v>
      </c>
      <c r="E14" s="70"/>
      <c r="F14" s="64"/>
      <c r="G14" s="64"/>
      <c r="H14" s="64"/>
      <c r="I14" s="64">
        <v>1479.7</v>
      </c>
      <c r="J14" s="69"/>
      <c r="K14" s="64"/>
      <c r="L14" s="64"/>
      <c r="M14" s="69">
        <f>15295.3+11821.4</f>
        <v>27116.699999999997</v>
      </c>
      <c r="N14" s="64">
        <f>1020.8-54-24.4</f>
        <v>942.4</v>
      </c>
      <c r="O14" s="68"/>
      <c r="P14" s="64"/>
      <c r="Q14" s="68"/>
      <c r="R14" s="64">
        <v>1992.5</v>
      </c>
      <c r="S14" s="69">
        <f>20406.5+15619.5</f>
        <v>36026</v>
      </c>
      <c r="T14" s="69"/>
      <c r="U14" s="69"/>
      <c r="V14" s="69">
        <v>1318.1</v>
      </c>
      <c r="W14" s="69">
        <v>54.5</v>
      </c>
      <c r="X14" s="64">
        <f>818.5-119.7</f>
        <v>698.8</v>
      </c>
      <c r="Y14" s="64"/>
      <c r="Z14" s="68">
        <f>SUM(D14:X14)</f>
        <v>69667.50000000001</v>
      </c>
      <c r="AA14" s="69">
        <f>B14+C14-Z14</f>
        <v>36711.29999999987</v>
      </c>
    </row>
    <row r="15" spans="1:28" s="51" customFormat="1" ht="15" customHeight="1">
      <c r="A15" s="49" t="s">
        <v>31</v>
      </c>
      <c r="B15" s="50">
        <f>26470.5+1208*2</f>
        <v>28886.5</v>
      </c>
      <c r="C15" s="72">
        <v>502.8999999999978</v>
      </c>
      <c r="D15" s="71"/>
      <c r="E15" s="71"/>
      <c r="F15" s="72"/>
      <c r="G15" s="72"/>
      <c r="H15" s="72"/>
      <c r="I15" s="72"/>
      <c r="J15" s="73"/>
      <c r="K15" s="72"/>
      <c r="L15" s="72"/>
      <c r="M15" s="73">
        <v>11821.4</v>
      </c>
      <c r="N15" s="72"/>
      <c r="O15" s="74"/>
      <c r="P15" s="72"/>
      <c r="Q15" s="74"/>
      <c r="R15" s="72"/>
      <c r="S15" s="73">
        <v>15619.5</v>
      </c>
      <c r="T15" s="73"/>
      <c r="U15" s="73"/>
      <c r="V15" s="73"/>
      <c r="W15" s="73"/>
      <c r="X15" s="72"/>
      <c r="Y15" s="72"/>
      <c r="Z15" s="75">
        <f>SUM(D15:X15)</f>
        <v>27440.9</v>
      </c>
      <c r="AA15" s="85">
        <f>B15+C15-Z15</f>
        <v>1948.4999999999964</v>
      </c>
      <c r="AB15" s="55"/>
    </row>
    <row r="16" spans="1:28" ht="15">
      <c r="A16" s="3" t="s">
        <v>5</v>
      </c>
      <c r="B16" s="22">
        <f>67875.3+1208*2</f>
        <v>70291.3</v>
      </c>
      <c r="C16" s="64">
        <v>7674.400000000016</v>
      </c>
      <c r="D16" s="64">
        <v>38.8</v>
      </c>
      <c r="E16" s="64"/>
      <c r="F16" s="64"/>
      <c r="G16" s="64"/>
      <c r="H16" s="64"/>
      <c r="I16" s="64"/>
      <c r="J16" s="69"/>
      <c r="K16" s="64"/>
      <c r="L16" s="64"/>
      <c r="M16" s="69">
        <f>14859.4+11821.4</f>
        <v>26680.8</v>
      </c>
      <c r="N16" s="64"/>
      <c r="O16" s="68"/>
      <c r="P16" s="64"/>
      <c r="Q16" s="68"/>
      <c r="R16" s="64"/>
      <c r="S16" s="69">
        <f>20406.5+15619.5</f>
        <v>36026</v>
      </c>
      <c r="T16" s="69"/>
      <c r="U16" s="69"/>
      <c r="V16" s="69"/>
      <c r="W16" s="69"/>
      <c r="X16" s="64"/>
      <c r="Y16" s="64"/>
      <c r="Z16" s="68">
        <f>SUM(D16:X16)</f>
        <v>62745.6</v>
      </c>
      <c r="AA16" s="69">
        <f>B16+C16-Z16</f>
        <v>15220.100000000013</v>
      </c>
      <c r="AB16" s="6"/>
    </row>
    <row r="17" spans="1:27" ht="15">
      <c r="A17" s="3" t="s">
        <v>3</v>
      </c>
      <c r="B17" s="22">
        <v>41</v>
      </c>
      <c r="C17" s="64">
        <v>26.6</v>
      </c>
      <c r="D17" s="64"/>
      <c r="E17" s="64"/>
      <c r="F17" s="64"/>
      <c r="G17" s="64"/>
      <c r="H17" s="64"/>
      <c r="I17" s="64">
        <v>5.3</v>
      </c>
      <c r="J17" s="69"/>
      <c r="K17" s="64"/>
      <c r="L17" s="64"/>
      <c r="M17" s="69"/>
      <c r="N17" s="64">
        <v>0.4</v>
      </c>
      <c r="O17" s="68"/>
      <c r="P17" s="64"/>
      <c r="Q17" s="68"/>
      <c r="R17" s="64"/>
      <c r="S17" s="69"/>
      <c r="T17" s="69"/>
      <c r="U17" s="69"/>
      <c r="V17" s="69"/>
      <c r="W17" s="69"/>
      <c r="X17" s="64"/>
      <c r="Y17" s="64"/>
      <c r="Z17" s="68">
        <f>SUM(D17:X17)</f>
        <v>5.7</v>
      </c>
      <c r="AA17" s="69">
        <f>B17+C17-Z17</f>
        <v>61.89999999999999</v>
      </c>
    </row>
    <row r="18" spans="1:27" ht="15">
      <c r="A18" s="3" t="s">
        <v>1</v>
      </c>
      <c r="B18" s="22">
        <v>5125.9</v>
      </c>
      <c r="C18" s="64">
        <v>3793.4000000000024</v>
      </c>
      <c r="D18" s="64"/>
      <c r="E18" s="64"/>
      <c r="F18" s="64"/>
      <c r="G18" s="64"/>
      <c r="H18" s="64"/>
      <c r="I18" s="64">
        <v>145.5</v>
      </c>
      <c r="J18" s="69"/>
      <c r="K18" s="64"/>
      <c r="L18" s="64"/>
      <c r="M18" s="69"/>
      <c r="N18" s="64">
        <v>59.7</v>
      </c>
      <c r="O18" s="68"/>
      <c r="P18" s="64"/>
      <c r="Q18" s="68"/>
      <c r="R18" s="64">
        <v>19.8</v>
      </c>
      <c r="S18" s="69"/>
      <c r="T18" s="69"/>
      <c r="U18" s="69"/>
      <c r="V18" s="69"/>
      <c r="W18" s="69"/>
      <c r="X18" s="64"/>
      <c r="Y18" s="64"/>
      <c r="Z18" s="68">
        <f>SUM(D18:X18)</f>
        <v>225</v>
      </c>
      <c r="AA18" s="69">
        <f>B18+C18-Z18</f>
        <v>8694.300000000003</v>
      </c>
    </row>
    <row r="19" spans="1:27" ht="15">
      <c r="A19" s="3" t="s">
        <v>2</v>
      </c>
      <c r="B19" s="22">
        <v>6083.799999999999</v>
      </c>
      <c r="C19" s="64">
        <v>4187.4000000000015</v>
      </c>
      <c r="D19" s="64"/>
      <c r="E19" s="64"/>
      <c r="F19" s="64"/>
      <c r="G19" s="64"/>
      <c r="H19" s="64"/>
      <c r="I19" s="64">
        <v>1118.1</v>
      </c>
      <c r="J19" s="69"/>
      <c r="K19" s="64"/>
      <c r="L19" s="64"/>
      <c r="M19" s="69"/>
      <c r="N19" s="64">
        <v>760</v>
      </c>
      <c r="O19" s="68"/>
      <c r="P19" s="64"/>
      <c r="Q19" s="68"/>
      <c r="R19" s="64">
        <f>440.7+1037.4</f>
        <v>1478.1000000000001</v>
      </c>
      <c r="S19" s="69"/>
      <c r="T19" s="69"/>
      <c r="U19" s="69"/>
      <c r="V19" s="69">
        <v>1318.1</v>
      </c>
      <c r="W19" s="69">
        <v>16.8</v>
      </c>
      <c r="X19" s="64">
        <v>-119.7</v>
      </c>
      <c r="Y19" s="64"/>
      <c r="Z19" s="68">
        <f>SUM(D19:X19)</f>
        <v>4571.4</v>
      </c>
      <c r="AA19" s="69">
        <f>B19+C19-Z19</f>
        <v>5699.800000000001</v>
      </c>
    </row>
    <row r="20" spans="1:27" ht="15">
      <c r="A20" s="3" t="s">
        <v>16</v>
      </c>
      <c r="B20" s="22">
        <v>1199.3999999999996</v>
      </c>
      <c r="C20" s="64">
        <v>556.0999999999999</v>
      </c>
      <c r="D20" s="64"/>
      <c r="E20" s="64"/>
      <c r="F20" s="64"/>
      <c r="G20" s="64"/>
      <c r="H20" s="64"/>
      <c r="I20" s="64">
        <v>202.3</v>
      </c>
      <c r="J20" s="69"/>
      <c r="K20" s="64"/>
      <c r="L20" s="64"/>
      <c r="M20" s="69">
        <v>435.9</v>
      </c>
      <c r="N20" s="64"/>
      <c r="O20" s="68"/>
      <c r="P20" s="64"/>
      <c r="Q20" s="68"/>
      <c r="R20" s="64">
        <v>309.1</v>
      </c>
      <c r="S20" s="69"/>
      <c r="T20" s="69"/>
      <c r="U20" s="64"/>
      <c r="V20" s="64"/>
      <c r="W20" s="64"/>
      <c r="X20" s="69"/>
      <c r="Y20" s="64"/>
      <c r="Z20" s="68">
        <f>SUM(D20:X20)</f>
        <v>947.3000000000001</v>
      </c>
      <c r="AA20" s="69">
        <f>B20+C20-Z20</f>
        <v>808.1999999999995</v>
      </c>
    </row>
    <row r="21" spans="1:27" ht="15">
      <c r="A21" s="3" t="s">
        <v>21</v>
      </c>
      <c r="B21" s="22">
        <f>B14-B16-B17-B18-B19-B20</f>
        <v>3085.9999999999054</v>
      </c>
      <c r="C21" s="64">
        <v>4313.499999999956</v>
      </c>
      <c r="D21" s="64">
        <f aca="true" t="shared" si="2" ref="D21:W21">D14-D16-D17-D18-D19-D20</f>
        <v>0</v>
      </c>
      <c r="E21" s="64">
        <f t="shared" si="2"/>
        <v>0</v>
      </c>
      <c r="F21" s="64">
        <f t="shared" si="2"/>
        <v>0</v>
      </c>
      <c r="G21" s="64">
        <f t="shared" si="2"/>
        <v>0</v>
      </c>
      <c r="H21" s="64">
        <f t="shared" si="2"/>
        <v>0</v>
      </c>
      <c r="I21" s="64">
        <f t="shared" si="2"/>
        <v>8.50000000000017</v>
      </c>
      <c r="J21" s="64">
        <f t="shared" si="2"/>
        <v>0</v>
      </c>
      <c r="K21" s="64">
        <f t="shared" si="2"/>
        <v>0</v>
      </c>
      <c r="L21" s="64">
        <f t="shared" si="2"/>
        <v>0</v>
      </c>
      <c r="M21" s="64">
        <f t="shared" si="2"/>
        <v>-2.1600499167107046E-12</v>
      </c>
      <c r="N21" s="64">
        <f t="shared" si="2"/>
        <v>122.29999999999995</v>
      </c>
      <c r="O21" s="64">
        <f t="shared" si="2"/>
        <v>0</v>
      </c>
      <c r="P21" s="64">
        <f t="shared" si="2"/>
        <v>0</v>
      </c>
      <c r="Q21" s="64">
        <f t="shared" si="2"/>
        <v>0</v>
      </c>
      <c r="R21" s="64">
        <f t="shared" si="2"/>
        <v>185.4999999999999</v>
      </c>
      <c r="S21" s="64">
        <f t="shared" si="2"/>
        <v>0</v>
      </c>
      <c r="T21" s="64">
        <f t="shared" si="2"/>
        <v>0</v>
      </c>
      <c r="U21" s="64">
        <f t="shared" si="2"/>
        <v>0</v>
      </c>
      <c r="V21" s="64">
        <f t="shared" si="2"/>
        <v>0</v>
      </c>
      <c r="W21" s="64">
        <f t="shared" si="2"/>
        <v>37.7</v>
      </c>
      <c r="X21" s="64">
        <f>X14-X16-X17-X18-X19-X20</f>
        <v>818.5</v>
      </c>
      <c r="Y21" s="64"/>
      <c r="Z21" s="68">
        <f>SUM(D21:X21)</f>
        <v>1172.4999999999977</v>
      </c>
      <c r="AA21" s="69">
        <f>B21+C21-Z21</f>
        <v>6226.999999999864</v>
      </c>
    </row>
    <row r="22" spans="1:27" ht="15" customHeight="1">
      <c r="A22" s="4" t="s">
        <v>7</v>
      </c>
      <c r="B22" s="22">
        <f>24999-1871.8+1166.4+202.9-2171.7</f>
        <v>22324.800000000003</v>
      </c>
      <c r="C22" s="64">
        <v>14386.599999999999</v>
      </c>
      <c r="D22" s="64"/>
      <c r="E22" s="64"/>
      <c r="F22" s="64"/>
      <c r="G22" s="64"/>
      <c r="H22" s="64"/>
      <c r="I22" s="64">
        <v>1871.6</v>
      </c>
      <c r="J22" s="69">
        <v>28.9</v>
      </c>
      <c r="K22" s="64">
        <v>42.7</v>
      </c>
      <c r="L22" s="64">
        <v>696.9</v>
      </c>
      <c r="M22" s="69">
        <v>1588.5</v>
      </c>
      <c r="N22" s="64">
        <f>7743.3+10.4</f>
        <v>7753.7</v>
      </c>
      <c r="O22" s="68">
        <v>1556.6</v>
      </c>
      <c r="P22" s="64"/>
      <c r="Q22" s="68"/>
      <c r="R22" s="68">
        <v>2574.1</v>
      </c>
      <c r="S22" s="69">
        <v>201.5</v>
      </c>
      <c r="T22" s="69">
        <v>1335.9</v>
      </c>
      <c r="U22" s="69">
        <v>64.2</v>
      </c>
      <c r="V22" s="69">
        <v>1110.9</v>
      </c>
      <c r="W22" s="69">
        <v>466.3</v>
      </c>
      <c r="X22" s="64"/>
      <c r="Y22" s="64"/>
      <c r="Z22" s="68">
        <f>SUM(D22:X22)</f>
        <v>19291.800000000003</v>
      </c>
      <c r="AA22" s="69">
        <f>B22+C22-Z22</f>
        <v>17419.6</v>
      </c>
    </row>
    <row r="23" spans="1:28" s="51" customFormat="1" ht="15" customHeight="1">
      <c r="A23" s="49" t="s">
        <v>32</v>
      </c>
      <c r="B23" s="50">
        <v>0</v>
      </c>
      <c r="C23" s="72">
        <v>0.10000000000218279</v>
      </c>
      <c r="D23" s="72"/>
      <c r="E23" s="72"/>
      <c r="F23" s="72"/>
      <c r="G23" s="72"/>
      <c r="H23" s="72"/>
      <c r="I23" s="72"/>
      <c r="J23" s="73"/>
      <c r="K23" s="72"/>
      <c r="L23" s="72"/>
      <c r="M23" s="73"/>
      <c r="N23" s="72"/>
      <c r="O23" s="74"/>
      <c r="P23" s="72"/>
      <c r="Q23" s="74"/>
      <c r="R23" s="74"/>
      <c r="S23" s="73"/>
      <c r="T23" s="73"/>
      <c r="U23" s="73"/>
      <c r="V23" s="73"/>
      <c r="W23" s="73"/>
      <c r="X23" s="72"/>
      <c r="Y23" s="72"/>
      <c r="Z23" s="75">
        <f>SUM(D23:X23)</f>
        <v>0</v>
      </c>
      <c r="AA23" s="85">
        <f>B23+C23-Z23</f>
        <v>0.10000000000218279</v>
      </c>
      <c r="AB23" s="55"/>
    </row>
    <row r="24" spans="1:28" ht="15" hidden="1">
      <c r="A24" s="3" t="s">
        <v>5</v>
      </c>
      <c r="B24" s="22">
        <v>0</v>
      </c>
      <c r="C24" s="64">
        <v>0</v>
      </c>
      <c r="D24" s="64"/>
      <c r="E24" s="64"/>
      <c r="F24" s="64"/>
      <c r="G24" s="64"/>
      <c r="H24" s="64"/>
      <c r="I24" s="64"/>
      <c r="J24" s="69"/>
      <c r="K24" s="64"/>
      <c r="L24" s="64"/>
      <c r="M24" s="69"/>
      <c r="N24" s="64"/>
      <c r="O24" s="68"/>
      <c r="P24" s="64"/>
      <c r="Q24" s="68"/>
      <c r="R24" s="64"/>
      <c r="S24" s="69"/>
      <c r="T24" s="69"/>
      <c r="U24" s="69"/>
      <c r="V24" s="69"/>
      <c r="W24" s="69"/>
      <c r="X24" s="64"/>
      <c r="Y24" s="64"/>
      <c r="Z24" s="68">
        <f>SUM(D24:X24)</f>
        <v>0</v>
      </c>
      <c r="AA24" s="69">
        <f>B24+C24-Z24</f>
        <v>0</v>
      </c>
      <c r="AB24" s="6"/>
    </row>
    <row r="25" spans="1:27" ht="15" hidden="1">
      <c r="A25" s="3" t="s">
        <v>3</v>
      </c>
      <c r="B25" s="22">
        <v>0</v>
      </c>
      <c r="C25" s="64">
        <v>0</v>
      </c>
      <c r="D25" s="64"/>
      <c r="E25" s="64"/>
      <c r="F25" s="64"/>
      <c r="G25" s="64"/>
      <c r="H25" s="64"/>
      <c r="I25" s="64"/>
      <c r="J25" s="69"/>
      <c r="K25" s="64"/>
      <c r="L25" s="64"/>
      <c r="M25" s="69"/>
      <c r="N25" s="64"/>
      <c r="O25" s="68"/>
      <c r="P25" s="64"/>
      <c r="Q25" s="68"/>
      <c r="R25" s="64"/>
      <c r="S25" s="69"/>
      <c r="T25" s="69"/>
      <c r="U25" s="69"/>
      <c r="V25" s="69"/>
      <c r="W25" s="69"/>
      <c r="X25" s="64"/>
      <c r="Y25" s="64"/>
      <c r="Z25" s="68">
        <f>SUM(D25:X25)</f>
        <v>0</v>
      </c>
      <c r="AA25" s="69">
        <f>B25+C25-Z25</f>
        <v>0</v>
      </c>
    </row>
    <row r="26" spans="1:27" ht="15" hidden="1">
      <c r="A26" s="3" t="s">
        <v>1</v>
      </c>
      <c r="B26" s="22">
        <v>0</v>
      </c>
      <c r="C26" s="64">
        <v>0</v>
      </c>
      <c r="D26" s="64"/>
      <c r="E26" s="64"/>
      <c r="F26" s="64"/>
      <c r="G26" s="64"/>
      <c r="H26" s="64"/>
      <c r="I26" s="64"/>
      <c r="J26" s="69"/>
      <c r="K26" s="64"/>
      <c r="L26" s="64"/>
      <c r="M26" s="69"/>
      <c r="N26" s="64"/>
      <c r="O26" s="68"/>
      <c r="P26" s="64"/>
      <c r="Q26" s="68"/>
      <c r="R26" s="64"/>
      <c r="S26" s="69"/>
      <c r="T26" s="69"/>
      <c r="U26" s="69"/>
      <c r="V26" s="69"/>
      <c r="W26" s="69"/>
      <c r="X26" s="64"/>
      <c r="Y26" s="64"/>
      <c r="Z26" s="68">
        <f>SUM(D26:X26)</f>
        <v>0</v>
      </c>
      <c r="AA26" s="69">
        <f>B26+C26-Z26</f>
        <v>0</v>
      </c>
    </row>
    <row r="27" spans="1:27" ht="15" hidden="1">
      <c r="A27" s="3" t="s">
        <v>2</v>
      </c>
      <c r="B27" s="22">
        <v>0</v>
      </c>
      <c r="C27" s="64">
        <v>0</v>
      </c>
      <c r="D27" s="64"/>
      <c r="E27" s="64"/>
      <c r="F27" s="64"/>
      <c r="G27" s="64"/>
      <c r="H27" s="64"/>
      <c r="I27" s="64"/>
      <c r="J27" s="69"/>
      <c r="K27" s="64"/>
      <c r="L27" s="64"/>
      <c r="M27" s="69"/>
      <c r="N27" s="64"/>
      <c r="O27" s="68"/>
      <c r="P27" s="64"/>
      <c r="Q27" s="68"/>
      <c r="R27" s="64"/>
      <c r="S27" s="69"/>
      <c r="T27" s="69"/>
      <c r="U27" s="69"/>
      <c r="V27" s="69"/>
      <c r="W27" s="69"/>
      <c r="X27" s="64"/>
      <c r="Y27" s="64"/>
      <c r="Z27" s="68">
        <f>SUM(D27:X27)</f>
        <v>0</v>
      </c>
      <c r="AA27" s="69">
        <f>B27+C27-Z27</f>
        <v>0</v>
      </c>
    </row>
    <row r="28" spans="1:27" ht="15">
      <c r="A28" s="3" t="s">
        <v>16</v>
      </c>
      <c r="B28" s="22">
        <v>1296.1000000000001</v>
      </c>
      <c r="C28" s="64">
        <v>476.5</v>
      </c>
      <c r="D28" s="64"/>
      <c r="E28" s="64"/>
      <c r="F28" s="64"/>
      <c r="G28" s="64"/>
      <c r="H28" s="64"/>
      <c r="I28" s="64">
        <v>1314.4</v>
      </c>
      <c r="J28" s="69"/>
      <c r="K28" s="64">
        <v>18.3</v>
      </c>
      <c r="L28" s="64"/>
      <c r="M28" s="69"/>
      <c r="N28" s="64"/>
      <c r="O28" s="68"/>
      <c r="P28" s="64"/>
      <c r="Q28" s="68"/>
      <c r="R28" s="64"/>
      <c r="S28" s="69"/>
      <c r="T28" s="69"/>
      <c r="U28" s="69"/>
      <c r="V28" s="69"/>
      <c r="W28" s="69">
        <v>173.9</v>
      </c>
      <c r="X28" s="64"/>
      <c r="Y28" s="64"/>
      <c r="Z28" s="68">
        <f>SUM(D28:X28)</f>
        <v>1506.6000000000001</v>
      </c>
      <c r="AA28" s="69">
        <f>B28+C28-Z28</f>
        <v>266</v>
      </c>
    </row>
    <row r="29" spans="1:27" ht="15" hidden="1">
      <c r="A29" s="3" t="s">
        <v>15</v>
      </c>
      <c r="B29" s="22"/>
      <c r="C29" s="64">
        <v>0</v>
      </c>
      <c r="D29" s="64"/>
      <c r="E29" s="68"/>
      <c r="F29" s="64"/>
      <c r="G29" s="64"/>
      <c r="H29" s="64"/>
      <c r="I29" s="64"/>
      <c r="J29" s="69"/>
      <c r="K29" s="64"/>
      <c r="L29" s="64"/>
      <c r="M29" s="69"/>
      <c r="N29" s="64"/>
      <c r="O29" s="68"/>
      <c r="P29" s="64"/>
      <c r="Q29" s="68"/>
      <c r="R29" s="64"/>
      <c r="S29" s="69"/>
      <c r="T29" s="69"/>
      <c r="U29" s="64"/>
      <c r="V29" s="64"/>
      <c r="W29" s="64"/>
      <c r="X29" s="69"/>
      <c r="Y29" s="64"/>
      <c r="Z29" s="68">
        <f>SUM(D29:X29)</f>
        <v>0</v>
      </c>
      <c r="AA29" s="69">
        <f>B29+C29-Z29</f>
        <v>0</v>
      </c>
    </row>
    <row r="30" spans="1:27" ht="15">
      <c r="A30" s="3" t="s">
        <v>21</v>
      </c>
      <c r="B30" s="22">
        <f>B22-B28</f>
        <v>21028.700000000004</v>
      </c>
      <c r="C30" s="64">
        <v>13910.099999999999</v>
      </c>
      <c r="D30" s="64">
        <f aca="true" t="shared" si="3" ref="D30:X30">D22-D24-D25-D26-D27-D28-D29</f>
        <v>0</v>
      </c>
      <c r="E30" s="64">
        <f t="shared" si="3"/>
        <v>0</v>
      </c>
      <c r="F30" s="64">
        <f t="shared" si="3"/>
        <v>0</v>
      </c>
      <c r="G30" s="64">
        <f t="shared" si="3"/>
        <v>0</v>
      </c>
      <c r="H30" s="64">
        <f t="shared" si="3"/>
        <v>0</v>
      </c>
      <c r="I30" s="64">
        <f t="shared" si="3"/>
        <v>557.1999999999998</v>
      </c>
      <c r="J30" s="64">
        <f t="shared" si="3"/>
        <v>28.9</v>
      </c>
      <c r="K30" s="64">
        <f t="shared" si="3"/>
        <v>24.400000000000002</v>
      </c>
      <c r="L30" s="64">
        <f t="shared" si="3"/>
        <v>696.9</v>
      </c>
      <c r="M30" s="69">
        <f t="shared" si="3"/>
        <v>1588.5</v>
      </c>
      <c r="N30" s="64">
        <f t="shared" si="3"/>
        <v>7753.7</v>
      </c>
      <c r="O30" s="64">
        <f t="shared" si="3"/>
        <v>1556.6</v>
      </c>
      <c r="P30" s="64">
        <f t="shared" si="3"/>
        <v>0</v>
      </c>
      <c r="Q30" s="64">
        <f t="shared" si="3"/>
        <v>0</v>
      </c>
      <c r="R30" s="64">
        <f t="shared" si="3"/>
        <v>2574.1</v>
      </c>
      <c r="S30" s="64">
        <f t="shared" si="3"/>
        <v>201.5</v>
      </c>
      <c r="T30" s="64">
        <f t="shared" si="3"/>
        <v>1335.9</v>
      </c>
      <c r="U30" s="64">
        <f t="shared" si="3"/>
        <v>64.2</v>
      </c>
      <c r="V30" s="64">
        <f t="shared" si="3"/>
        <v>1110.9</v>
      </c>
      <c r="W30" s="64">
        <f t="shared" si="3"/>
        <v>292.4</v>
      </c>
      <c r="X30" s="64">
        <f t="shared" si="3"/>
        <v>0</v>
      </c>
      <c r="Y30" s="64"/>
      <c r="Z30" s="68">
        <f>SUM(D30:X30)</f>
        <v>17785.2</v>
      </c>
      <c r="AA30" s="69">
        <f>AA22-AA28</f>
        <v>17153.6</v>
      </c>
    </row>
    <row r="31" spans="1:27" ht="15" customHeight="1">
      <c r="A31" s="4" t="s">
        <v>8</v>
      </c>
      <c r="B31" s="22">
        <f>284.9+7.4</f>
        <v>292.29999999999995</v>
      </c>
      <c r="C31" s="64">
        <v>181.89999999999998</v>
      </c>
      <c r="D31" s="64"/>
      <c r="E31" s="64"/>
      <c r="F31" s="64"/>
      <c r="G31" s="64"/>
      <c r="H31" s="64"/>
      <c r="I31" s="64"/>
      <c r="J31" s="69"/>
      <c r="K31" s="64"/>
      <c r="L31" s="64">
        <v>50.4</v>
      </c>
      <c r="M31" s="69"/>
      <c r="N31" s="64">
        <v>12.4</v>
      </c>
      <c r="O31" s="68"/>
      <c r="P31" s="64">
        <v>1.3</v>
      </c>
      <c r="Q31" s="68"/>
      <c r="R31" s="64"/>
      <c r="S31" s="69"/>
      <c r="T31" s="69"/>
      <c r="U31" s="69">
        <v>146.2</v>
      </c>
      <c r="V31" s="69"/>
      <c r="W31" s="69"/>
      <c r="X31" s="69"/>
      <c r="Y31" s="64"/>
      <c r="Z31" s="68">
        <f>SUM(D31:X31)</f>
        <v>210.29999999999998</v>
      </c>
      <c r="AA31" s="69">
        <f>B31+C31-Z31</f>
        <v>263.9</v>
      </c>
    </row>
    <row r="32" spans="1:27" ht="15">
      <c r="A32" s="3" t="s">
        <v>5</v>
      </c>
      <c r="B32" s="22">
        <v>234.19999999999993</v>
      </c>
      <c r="C32" s="64">
        <v>100.60000000000002</v>
      </c>
      <c r="D32" s="64"/>
      <c r="E32" s="64"/>
      <c r="F32" s="64"/>
      <c r="G32" s="64"/>
      <c r="H32" s="64"/>
      <c r="I32" s="64"/>
      <c r="J32" s="69"/>
      <c r="K32" s="64"/>
      <c r="L32" s="64">
        <v>49.4</v>
      </c>
      <c r="M32" s="69"/>
      <c r="N32" s="64"/>
      <c r="O32" s="64"/>
      <c r="P32" s="64"/>
      <c r="Q32" s="68"/>
      <c r="R32" s="64"/>
      <c r="S32" s="69"/>
      <c r="T32" s="69"/>
      <c r="U32" s="69">
        <v>145</v>
      </c>
      <c r="V32" s="69"/>
      <c r="W32" s="69"/>
      <c r="X32" s="69"/>
      <c r="Y32" s="64"/>
      <c r="Z32" s="68">
        <f>SUM(D32:X32)</f>
        <v>194.4</v>
      </c>
      <c r="AA32" s="69">
        <f>B32+C32-Z32</f>
        <v>140.39999999999995</v>
      </c>
    </row>
    <row r="33" spans="1:27" ht="15" hidden="1">
      <c r="A33" s="3" t="s">
        <v>1</v>
      </c>
      <c r="B33" s="22">
        <v>0</v>
      </c>
      <c r="C33" s="64">
        <v>0</v>
      </c>
      <c r="D33" s="64"/>
      <c r="E33" s="64"/>
      <c r="F33" s="64"/>
      <c r="G33" s="64"/>
      <c r="H33" s="64"/>
      <c r="I33" s="64"/>
      <c r="J33" s="69"/>
      <c r="K33" s="64"/>
      <c r="L33" s="64"/>
      <c r="M33" s="69"/>
      <c r="N33" s="64"/>
      <c r="O33" s="64"/>
      <c r="P33" s="64"/>
      <c r="Q33" s="68"/>
      <c r="R33" s="64"/>
      <c r="S33" s="69"/>
      <c r="T33" s="69"/>
      <c r="U33" s="64"/>
      <c r="V33" s="64"/>
      <c r="W33" s="64"/>
      <c r="X33" s="69"/>
      <c r="Y33" s="64"/>
      <c r="Z33" s="68">
        <f>SUM(D33:X33)</f>
        <v>0</v>
      </c>
      <c r="AA33" s="69">
        <f>B33+C33-Z33</f>
        <v>0</v>
      </c>
    </row>
    <row r="34" spans="1:27" ht="15">
      <c r="A34" s="3" t="s">
        <v>2</v>
      </c>
      <c r="B34" s="35">
        <v>11.899999999999999</v>
      </c>
      <c r="C34" s="64">
        <v>33.9</v>
      </c>
      <c r="D34" s="64"/>
      <c r="E34" s="64"/>
      <c r="F34" s="64"/>
      <c r="G34" s="64"/>
      <c r="H34" s="64"/>
      <c r="I34" s="64"/>
      <c r="J34" s="69"/>
      <c r="K34" s="64"/>
      <c r="L34" s="64"/>
      <c r="M34" s="69"/>
      <c r="N34" s="64"/>
      <c r="O34" s="68"/>
      <c r="P34" s="64"/>
      <c r="Q34" s="68"/>
      <c r="R34" s="64"/>
      <c r="S34" s="69"/>
      <c r="T34" s="69"/>
      <c r="U34" s="64"/>
      <c r="V34" s="64"/>
      <c r="W34" s="64"/>
      <c r="X34" s="69"/>
      <c r="Y34" s="64"/>
      <c r="Z34" s="68">
        <f>SUM(D34:X34)</f>
        <v>0</v>
      </c>
      <c r="AA34" s="69">
        <f>B34+C34-Z34</f>
        <v>45.8</v>
      </c>
    </row>
    <row r="35" spans="1:27" ht="15">
      <c r="A35" s="3" t="s">
        <v>16</v>
      </c>
      <c r="B35" s="22">
        <v>0</v>
      </c>
      <c r="C35" s="64">
        <v>0</v>
      </c>
      <c r="D35" s="64"/>
      <c r="E35" s="64"/>
      <c r="F35" s="64"/>
      <c r="G35" s="64"/>
      <c r="H35" s="64"/>
      <c r="I35" s="64"/>
      <c r="J35" s="69"/>
      <c r="K35" s="64"/>
      <c r="L35" s="64"/>
      <c r="M35" s="69"/>
      <c r="N35" s="64"/>
      <c r="O35" s="68"/>
      <c r="P35" s="64"/>
      <c r="Q35" s="68"/>
      <c r="R35" s="64"/>
      <c r="S35" s="69"/>
      <c r="T35" s="69"/>
      <c r="U35" s="64"/>
      <c r="V35" s="64"/>
      <c r="W35" s="64"/>
      <c r="X35" s="69"/>
      <c r="Y35" s="64"/>
      <c r="Z35" s="68">
        <f>SUM(D35:X35)</f>
        <v>0</v>
      </c>
      <c r="AA35" s="69">
        <f>B35+C35-Z35</f>
        <v>0</v>
      </c>
    </row>
    <row r="36" spans="1:27" ht="15" hidden="1">
      <c r="A36" s="3" t="s">
        <v>15</v>
      </c>
      <c r="B36" s="22"/>
      <c r="C36" s="64">
        <v>0</v>
      </c>
      <c r="D36" s="64"/>
      <c r="E36" s="64"/>
      <c r="F36" s="64"/>
      <c r="G36" s="64"/>
      <c r="H36" s="64"/>
      <c r="I36" s="64"/>
      <c r="J36" s="69"/>
      <c r="K36" s="64"/>
      <c r="L36" s="64"/>
      <c r="M36" s="69"/>
      <c r="N36" s="64"/>
      <c r="O36" s="68"/>
      <c r="P36" s="64"/>
      <c r="Q36" s="64"/>
      <c r="R36" s="64"/>
      <c r="S36" s="69"/>
      <c r="T36" s="69"/>
      <c r="U36" s="64"/>
      <c r="V36" s="64"/>
      <c r="W36" s="64"/>
      <c r="X36" s="69"/>
      <c r="Y36" s="64"/>
      <c r="Z36" s="68">
        <f>SUM(D36:X36)</f>
        <v>0</v>
      </c>
      <c r="AA36" s="69">
        <f>B36+C36-Z36</f>
        <v>0</v>
      </c>
    </row>
    <row r="37" spans="1:27" ht="15">
      <c r="A37" s="3" t="s">
        <v>21</v>
      </c>
      <c r="B37" s="22">
        <f aca="true" t="shared" si="4" ref="B37:X37">B31-B32-B34-B36-B35-B33</f>
        <v>46.200000000000024</v>
      </c>
      <c r="C37" s="64">
        <v>47.399999999999956</v>
      </c>
      <c r="D37" s="64">
        <f t="shared" si="4"/>
        <v>0</v>
      </c>
      <c r="E37" s="64">
        <f t="shared" si="4"/>
        <v>0</v>
      </c>
      <c r="F37" s="64">
        <f t="shared" si="4"/>
        <v>0</v>
      </c>
      <c r="G37" s="64">
        <f t="shared" si="4"/>
        <v>0</v>
      </c>
      <c r="H37" s="64">
        <f t="shared" si="4"/>
        <v>0</v>
      </c>
      <c r="I37" s="64">
        <f t="shared" si="4"/>
        <v>0</v>
      </c>
      <c r="J37" s="64">
        <f t="shared" si="4"/>
        <v>0</v>
      </c>
      <c r="K37" s="64">
        <f t="shared" si="4"/>
        <v>0</v>
      </c>
      <c r="L37" s="64">
        <f t="shared" si="4"/>
        <v>1</v>
      </c>
      <c r="M37" s="69">
        <f t="shared" si="4"/>
        <v>0</v>
      </c>
      <c r="N37" s="64">
        <f t="shared" si="4"/>
        <v>12.4</v>
      </c>
      <c r="O37" s="64">
        <f t="shared" si="4"/>
        <v>0</v>
      </c>
      <c r="P37" s="64">
        <f t="shared" si="4"/>
        <v>1.3</v>
      </c>
      <c r="Q37" s="64">
        <f t="shared" si="4"/>
        <v>0</v>
      </c>
      <c r="R37" s="64">
        <f t="shared" si="4"/>
        <v>0</v>
      </c>
      <c r="S37" s="64">
        <f t="shared" si="4"/>
        <v>0</v>
      </c>
      <c r="T37" s="64">
        <f t="shared" si="4"/>
        <v>0</v>
      </c>
      <c r="U37" s="64">
        <f t="shared" si="4"/>
        <v>1.1999999999999886</v>
      </c>
      <c r="V37" s="64">
        <f t="shared" si="4"/>
        <v>0</v>
      </c>
      <c r="W37" s="64">
        <f t="shared" si="4"/>
        <v>0</v>
      </c>
      <c r="X37" s="64">
        <f t="shared" si="4"/>
        <v>0</v>
      </c>
      <c r="Y37" s="64"/>
      <c r="Z37" s="68">
        <f>SUM(D37:X37)</f>
        <v>15.89999999999999</v>
      </c>
      <c r="AA37" s="69">
        <f>AA31-AA32-AA34-AA36-AA33-AA35</f>
        <v>77.70000000000003</v>
      </c>
    </row>
    <row r="38" spans="1:27" ht="15" customHeight="1">
      <c r="A38" s="4" t="s">
        <v>25</v>
      </c>
      <c r="B38" s="22">
        <f>1716.5+49</f>
        <v>1765.5</v>
      </c>
      <c r="C38" s="64">
        <v>659.5</v>
      </c>
      <c r="D38" s="64"/>
      <c r="E38" s="64"/>
      <c r="F38" s="64">
        <v>75.9</v>
      </c>
      <c r="G38" s="64"/>
      <c r="H38" s="64"/>
      <c r="I38" s="64">
        <v>491.3</v>
      </c>
      <c r="J38" s="69"/>
      <c r="K38" s="64">
        <v>146.4</v>
      </c>
      <c r="L38" s="64"/>
      <c r="M38" s="69"/>
      <c r="N38" s="64">
        <v>57.2</v>
      </c>
      <c r="O38" s="68"/>
      <c r="P38" s="64"/>
      <c r="Q38" s="68"/>
      <c r="R38" s="68">
        <v>28.1</v>
      </c>
      <c r="S38" s="69"/>
      <c r="T38" s="69"/>
      <c r="U38" s="69"/>
      <c r="V38" s="69">
        <v>934.1</v>
      </c>
      <c r="W38" s="69">
        <v>0.4</v>
      </c>
      <c r="X38" s="64"/>
      <c r="Y38" s="64"/>
      <c r="Z38" s="68">
        <f>SUM(D38:X38)</f>
        <v>1733.4</v>
      </c>
      <c r="AA38" s="69">
        <f>B38+C38-Z38</f>
        <v>691.5999999999999</v>
      </c>
    </row>
    <row r="39" spans="1:28" ht="15">
      <c r="A39" s="3" t="s">
        <v>5</v>
      </c>
      <c r="B39" s="22">
        <v>1494.8999999999996</v>
      </c>
      <c r="C39" s="64">
        <v>250.60000000000014</v>
      </c>
      <c r="D39" s="64"/>
      <c r="E39" s="64"/>
      <c r="F39" s="64"/>
      <c r="G39" s="64"/>
      <c r="H39" s="64"/>
      <c r="I39" s="64">
        <v>472.2</v>
      </c>
      <c r="J39" s="69"/>
      <c r="K39" s="64">
        <v>146.4</v>
      </c>
      <c r="L39" s="64"/>
      <c r="M39" s="69"/>
      <c r="N39" s="64"/>
      <c r="O39" s="68"/>
      <c r="P39" s="64"/>
      <c r="Q39" s="64"/>
      <c r="R39" s="64"/>
      <c r="S39" s="69"/>
      <c r="T39" s="69"/>
      <c r="U39" s="69"/>
      <c r="V39" s="69">
        <v>922</v>
      </c>
      <c r="W39" s="69"/>
      <c r="X39" s="64"/>
      <c r="Y39" s="64"/>
      <c r="Z39" s="68">
        <f>SUM(D39:X39)</f>
        <v>1540.6</v>
      </c>
      <c r="AA39" s="69">
        <f>B39+C39-Z39</f>
        <v>204.89999999999986</v>
      </c>
      <c r="AB39" s="6"/>
    </row>
    <row r="40" spans="1:27" ht="15">
      <c r="A40" s="3" t="s">
        <v>3</v>
      </c>
      <c r="B40" s="22">
        <v>0</v>
      </c>
      <c r="C40" s="64">
        <v>57.599999999999994</v>
      </c>
      <c r="D40" s="64"/>
      <c r="E40" s="64"/>
      <c r="F40" s="64">
        <v>32.8</v>
      </c>
      <c r="G40" s="64"/>
      <c r="H40" s="64"/>
      <c r="I40" s="64">
        <v>0.5</v>
      </c>
      <c r="J40" s="69"/>
      <c r="K40" s="64"/>
      <c r="L40" s="64"/>
      <c r="M40" s="69"/>
      <c r="N40" s="64">
        <v>4.1</v>
      </c>
      <c r="O40" s="68"/>
      <c r="P40" s="64"/>
      <c r="Q40" s="64"/>
      <c r="R40" s="64"/>
      <c r="S40" s="69"/>
      <c r="T40" s="69"/>
      <c r="U40" s="69"/>
      <c r="V40" s="69">
        <v>0.7</v>
      </c>
      <c r="W40" s="69"/>
      <c r="X40" s="64"/>
      <c r="Y40" s="64"/>
      <c r="Z40" s="68">
        <f>SUM(D40:X40)</f>
        <v>38.1</v>
      </c>
      <c r="AA40" s="69">
        <f>B40+C40-Z40</f>
        <v>19.499999999999993</v>
      </c>
    </row>
    <row r="41" spans="1:27" ht="15">
      <c r="A41" s="3" t="s">
        <v>1</v>
      </c>
      <c r="B41" s="22">
        <v>11.300000000000004</v>
      </c>
      <c r="C41" s="64">
        <v>34.400000000000006</v>
      </c>
      <c r="D41" s="64"/>
      <c r="E41" s="64"/>
      <c r="F41" s="64"/>
      <c r="G41" s="64"/>
      <c r="H41" s="64"/>
      <c r="I41" s="64"/>
      <c r="J41" s="69"/>
      <c r="K41" s="64"/>
      <c r="L41" s="64"/>
      <c r="M41" s="69"/>
      <c r="N41" s="64">
        <v>10.4</v>
      </c>
      <c r="O41" s="68"/>
      <c r="P41" s="64"/>
      <c r="Q41" s="64"/>
      <c r="R41" s="64"/>
      <c r="S41" s="69"/>
      <c r="T41" s="69"/>
      <c r="U41" s="69"/>
      <c r="V41" s="69"/>
      <c r="W41" s="69"/>
      <c r="X41" s="64"/>
      <c r="Y41" s="64"/>
      <c r="Z41" s="68">
        <f>SUM(D41:X41)</f>
        <v>10.4</v>
      </c>
      <c r="AA41" s="69">
        <f>B41+C41-Z41</f>
        <v>35.30000000000001</v>
      </c>
    </row>
    <row r="42" spans="1:27" ht="15">
      <c r="A42" s="3" t="s">
        <v>2</v>
      </c>
      <c r="B42" s="22">
        <v>169.40000000000003</v>
      </c>
      <c r="C42" s="64">
        <v>211</v>
      </c>
      <c r="D42" s="64"/>
      <c r="E42" s="64"/>
      <c r="F42" s="64"/>
      <c r="G42" s="64"/>
      <c r="H42" s="64"/>
      <c r="I42" s="64">
        <v>7.8</v>
      </c>
      <c r="J42" s="69"/>
      <c r="K42" s="64"/>
      <c r="L42" s="64"/>
      <c r="M42" s="69"/>
      <c r="N42" s="64">
        <v>17.9</v>
      </c>
      <c r="O42" s="68"/>
      <c r="P42" s="64"/>
      <c r="Q42" s="64"/>
      <c r="R42" s="64">
        <v>23.5</v>
      </c>
      <c r="S42" s="69"/>
      <c r="T42" s="69"/>
      <c r="U42" s="69"/>
      <c r="V42" s="69">
        <v>11.4</v>
      </c>
      <c r="W42" s="69"/>
      <c r="X42" s="64"/>
      <c r="Y42" s="64"/>
      <c r="Z42" s="68">
        <f>SUM(D42:X42)</f>
        <v>60.6</v>
      </c>
      <c r="AA42" s="69">
        <f>B42+C42-Z42</f>
        <v>319.8</v>
      </c>
    </row>
    <row r="43" spans="1:27" ht="15">
      <c r="A43" s="3" t="s">
        <v>21</v>
      </c>
      <c r="B43" s="22">
        <f>B38-B39-B40-B41-B42</f>
        <v>89.90000000000032</v>
      </c>
      <c r="C43" s="64">
        <v>105.89999999999986</v>
      </c>
      <c r="D43" s="64">
        <f>D38-D39-D40-D41-D42</f>
        <v>0</v>
      </c>
      <c r="E43" s="64">
        <f aca="true" t="shared" si="5" ref="E43:X43">E38-E39-E40-E41-E42</f>
        <v>0</v>
      </c>
      <c r="F43" s="64">
        <f t="shared" si="5"/>
        <v>43.10000000000001</v>
      </c>
      <c r="G43" s="64">
        <f t="shared" si="5"/>
        <v>0</v>
      </c>
      <c r="H43" s="64">
        <f t="shared" si="5"/>
        <v>0</v>
      </c>
      <c r="I43" s="64">
        <f t="shared" si="5"/>
        <v>10.800000000000022</v>
      </c>
      <c r="J43" s="64">
        <f t="shared" si="5"/>
        <v>0</v>
      </c>
      <c r="K43" s="64">
        <f t="shared" si="5"/>
        <v>0</v>
      </c>
      <c r="L43" s="64">
        <f t="shared" si="5"/>
        <v>0</v>
      </c>
      <c r="M43" s="64">
        <f t="shared" si="5"/>
        <v>0</v>
      </c>
      <c r="N43" s="64">
        <f t="shared" si="5"/>
        <v>24.800000000000004</v>
      </c>
      <c r="O43" s="64">
        <f t="shared" si="5"/>
        <v>0</v>
      </c>
      <c r="P43" s="64">
        <f t="shared" si="5"/>
        <v>0</v>
      </c>
      <c r="Q43" s="64">
        <f t="shared" si="5"/>
        <v>0</v>
      </c>
      <c r="R43" s="64">
        <f t="shared" si="5"/>
        <v>4.600000000000001</v>
      </c>
      <c r="S43" s="64">
        <f t="shared" si="5"/>
        <v>0</v>
      </c>
      <c r="T43" s="64">
        <f t="shared" si="5"/>
        <v>0</v>
      </c>
      <c r="U43" s="64">
        <f t="shared" si="5"/>
        <v>0</v>
      </c>
      <c r="V43" s="64">
        <f t="shared" si="5"/>
        <v>2.3092638912203256E-14</v>
      </c>
      <c r="W43" s="64">
        <f t="shared" si="5"/>
        <v>0.4</v>
      </c>
      <c r="X43" s="64">
        <f t="shared" si="5"/>
        <v>0</v>
      </c>
      <c r="Y43" s="64"/>
      <c r="Z43" s="68">
        <f>SUM(D43:X43)</f>
        <v>83.70000000000007</v>
      </c>
      <c r="AA43" s="69">
        <f>AA38-AA39-AA40-AA41-AA42</f>
        <v>112.10000000000002</v>
      </c>
    </row>
    <row r="44" spans="1:27" ht="17.25" customHeight="1">
      <c r="A44" s="4" t="s">
        <v>34</v>
      </c>
      <c r="B44" s="28">
        <f>7574.8-89.1+97.7-5232.6-14.1</f>
        <v>2336.6999999999994</v>
      </c>
      <c r="C44" s="64">
        <v>3909.999999999999</v>
      </c>
      <c r="D44" s="64">
        <v>319.1</v>
      </c>
      <c r="E44" s="76"/>
      <c r="F44" s="76"/>
      <c r="G44" s="76"/>
      <c r="H44" s="76"/>
      <c r="I44" s="76">
        <v>586.7</v>
      </c>
      <c r="J44" s="77"/>
      <c r="K44" s="76"/>
      <c r="L44" s="76">
        <v>40.9</v>
      </c>
      <c r="M44" s="77">
        <v>17.4</v>
      </c>
      <c r="N44" s="76">
        <v>14.5</v>
      </c>
      <c r="O44" s="78"/>
      <c r="P44" s="76"/>
      <c r="Q44" s="76"/>
      <c r="R44" s="76">
        <v>43.9</v>
      </c>
      <c r="S44" s="77"/>
      <c r="T44" s="77"/>
      <c r="U44" s="76">
        <v>38</v>
      </c>
      <c r="V44" s="76">
        <v>654.6</v>
      </c>
      <c r="W44" s="76">
        <v>0.4</v>
      </c>
      <c r="X44" s="76"/>
      <c r="Y44" s="76"/>
      <c r="Z44" s="68">
        <f>SUM(D44:X44)</f>
        <v>1715.5</v>
      </c>
      <c r="AA44" s="69">
        <f>B44+C44-Z44</f>
        <v>4531.199999999999</v>
      </c>
    </row>
    <row r="45" spans="1:27" ht="15">
      <c r="A45" s="3" t="s">
        <v>5</v>
      </c>
      <c r="B45" s="22">
        <v>58.400000000000006</v>
      </c>
      <c r="C45" s="64">
        <v>19.200000000000003</v>
      </c>
      <c r="D45" s="64"/>
      <c r="E45" s="76"/>
      <c r="F45" s="76"/>
      <c r="G45" s="76"/>
      <c r="H45" s="76"/>
      <c r="I45" s="76"/>
      <c r="J45" s="77"/>
      <c r="K45" s="76"/>
      <c r="L45" s="76">
        <v>34.3</v>
      </c>
      <c r="M45" s="77"/>
      <c r="N45" s="76"/>
      <c r="O45" s="78"/>
      <c r="P45" s="76"/>
      <c r="Q45" s="76"/>
      <c r="R45" s="76"/>
      <c r="S45" s="77"/>
      <c r="T45" s="77"/>
      <c r="U45" s="76">
        <v>10.5</v>
      </c>
      <c r="V45" s="76"/>
      <c r="W45" s="76"/>
      <c r="X45" s="76"/>
      <c r="Y45" s="76"/>
      <c r="Z45" s="68">
        <f>SUM(D45:X45)</f>
        <v>44.8</v>
      </c>
      <c r="AA45" s="69">
        <f>B45+C45-Z45</f>
        <v>32.80000000000001</v>
      </c>
    </row>
    <row r="46" spans="1:27" ht="15">
      <c r="A46" s="3" t="s">
        <v>1</v>
      </c>
      <c r="B46" s="22">
        <v>183.1</v>
      </c>
      <c r="C46" s="64">
        <v>0</v>
      </c>
      <c r="D46" s="64"/>
      <c r="E46" s="76"/>
      <c r="F46" s="76"/>
      <c r="G46" s="76"/>
      <c r="H46" s="76"/>
      <c r="I46" s="76"/>
      <c r="J46" s="77"/>
      <c r="K46" s="76"/>
      <c r="L46" s="76"/>
      <c r="M46" s="77"/>
      <c r="N46" s="76"/>
      <c r="O46" s="78"/>
      <c r="P46" s="76"/>
      <c r="Q46" s="76"/>
      <c r="R46" s="76"/>
      <c r="S46" s="77"/>
      <c r="T46" s="77"/>
      <c r="U46" s="76"/>
      <c r="V46" s="76">
        <v>91.6</v>
      </c>
      <c r="W46" s="76"/>
      <c r="X46" s="76"/>
      <c r="Y46" s="76"/>
      <c r="Z46" s="68">
        <f>SUM(D46:X46)</f>
        <v>91.6</v>
      </c>
      <c r="AA46" s="69">
        <f>B46+C46-Z46</f>
        <v>91.5</v>
      </c>
    </row>
    <row r="47" spans="1:27" ht="15">
      <c r="A47" s="3" t="s">
        <v>16</v>
      </c>
      <c r="B47" s="22">
        <f>6754.1-89.1+16-5232.6</f>
        <v>1448.3999999999996</v>
      </c>
      <c r="C47" s="64">
        <v>3416.1000000000004</v>
      </c>
      <c r="D47" s="64">
        <v>319.1</v>
      </c>
      <c r="E47" s="64"/>
      <c r="F47" s="64"/>
      <c r="G47" s="64"/>
      <c r="H47" s="64"/>
      <c r="I47" s="64">
        <f>586.7-41.9</f>
        <v>544.8000000000001</v>
      </c>
      <c r="J47" s="69"/>
      <c r="K47" s="64"/>
      <c r="L47" s="64"/>
      <c r="M47" s="69"/>
      <c r="N47" s="64">
        <v>1.2</v>
      </c>
      <c r="O47" s="68"/>
      <c r="P47" s="64"/>
      <c r="Q47" s="64"/>
      <c r="R47" s="64">
        <v>37.9</v>
      </c>
      <c r="S47" s="69"/>
      <c r="T47" s="69"/>
      <c r="U47" s="64"/>
      <c r="V47" s="64">
        <v>506.2</v>
      </c>
      <c r="W47" s="64"/>
      <c r="X47" s="64"/>
      <c r="Y47" s="64"/>
      <c r="Z47" s="68">
        <f>SUM(D47:X47)</f>
        <v>1409.2</v>
      </c>
      <c r="AA47" s="69">
        <f>B47+C47-Z47</f>
        <v>3455.3</v>
      </c>
    </row>
    <row r="48" spans="1:27" ht="15">
      <c r="A48" s="47" t="s">
        <v>21</v>
      </c>
      <c r="B48" s="22">
        <f>B44-B45-B47</f>
        <v>829.8999999999996</v>
      </c>
      <c r="C48" s="64">
        <v>474.69999999999874</v>
      </c>
      <c r="D48" s="64">
        <f>D44-D45-D47</f>
        <v>0</v>
      </c>
      <c r="E48" s="64">
        <f>E44-E45-E47</f>
        <v>0</v>
      </c>
      <c r="F48" s="64">
        <f>F44-F45-F47</f>
        <v>0</v>
      </c>
      <c r="G48" s="64">
        <f>G44-G45-G47</f>
        <v>0</v>
      </c>
      <c r="H48" s="64">
        <f>H44-H45-H47</f>
        <v>0</v>
      </c>
      <c r="I48" s="64">
        <f>I44-I45-I47</f>
        <v>41.89999999999998</v>
      </c>
      <c r="J48" s="64">
        <f>J44-J45-J47</f>
        <v>0</v>
      </c>
      <c r="K48" s="64">
        <f>K44-K45-K47</f>
        <v>0</v>
      </c>
      <c r="L48" s="64">
        <f>L44-L45-L47</f>
        <v>6.600000000000001</v>
      </c>
      <c r="M48" s="69">
        <f>M44-M45-M47</f>
        <v>17.4</v>
      </c>
      <c r="N48" s="64">
        <f>N44-N45-N47</f>
        <v>13.3</v>
      </c>
      <c r="O48" s="64">
        <f>O44-O45-O47</f>
        <v>0</v>
      </c>
      <c r="P48" s="64">
        <f>P44-P45-P47</f>
        <v>0</v>
      </c>
      <c r="Q48" s="64">
        <f>Q44-Q45-Q47</f>
        <v>0</v>
      </c>
      <c r="R48" s="64">
        <f>R44-R45-R47</f>
        <v>6</v>
      </c>
      <c r="S48" s="64">
        <f>S44-S45-S47</f>
        <v>0</v>
      </c>
      <c r="T48" s="64">
        <f>T44-T45-T47</f>
        <v>0</v>
      </c>
      <c r="U48" s="64">
        <f>U44-U45-U47</f>
        <v>27.5</v>
      </c>
      <c r="V48" s="64">
        <f>V44-V45-V47-V46</f>
        <v>56.80000000000004</v>
      </c>
      <c r="W48" s="64">
        <f>W44-W45-W47</f>
        <v>0.4</v>
      </c>
      <c r="X48" s="64">
        <f>X44-X45-X47</f>
        <v>0</v>
      </c>
      <c r="Y48" s="64"/>
      <c r="Z48" s="68">
        <f>SUM(D48:X48)</f>
        <v>169.9</v>
      </c>
      <c r="AA48" s="69">
        <f>AA44-AA47-AA45</f>
        <v>1043.0999999999988</v>
      </c>
    </row>
    <row r="49" spans="1:27" ht="15" customHeight="1">
      <c r="A49" s="4" t="s">
        <v>0</v>
      </c>
      <c r="B49" s="22">
        <f>8213.8-400-182-38.5-360</f>
        <v>7233.299999999999</v>
      </c>
      <c r="C49" s="64">
        <v>3560.3999999999987</v>
      </c>
      <c r="D49" s="64"/>
      <c r="E49" s="64"/>
      <c r="F49" s="64"/>
      <c r="G49" s="64"/>
      <c r="H49" s="64"/>
      <c r="I49" s="64">
        <v>1246.3</v>
      </c>
      <c r="J49" s="69">
        <v>80.1</v>
      </c>
      <c r="K49" s="64">
        <v>31.6</v>
      </c>
      <c r="L49" s="64"/>
      <c r="M49" s="69"/>
      <c r="N49" s="64">
        <f>2005.2-923.7</f>
        <v>1081.5</v>
      </c>
      <c r="O49" s="68">
        <v>67.5</v>
      </c>
      <c r="P49" s="64">
        <v>923.7</v>
      </c>
      <c r="Q49" s="64"/>
      <c r="R49" s="64">
        <v>264.9</v>
      </c>
      <c r="S49" s="69"/>
      <c r="T49" s="69"/>
      <c r="U49" s="69">
        <v>1127.4</v>
      </c>
      <c r="V49" s="69">
        <v>13.3</v>
      </c>
      <c r="W49" s="69">
        <v>707.5</v>
      </c>
      <c r="X49" s="64"/>
      <c r="Y49" s="64"/>
      <c r="Z49" s="68">
        <f>SUM(D49:X49)</f>
        <v>5543.8</v>
      </c>
      <c r="AA49" s="69">
        <f>B49+C49-Z49</f>
        <v>5249.899999999997</v>
      </c>
    </row>
    <row r="50" spans="1:27" ht="15" customHeight="1">
      <c r="A50" s="3" t="s">
        <v>2</v>
      </c>
      <c r="B50" s="22">
        <f>1790.8-400</f>
        <v>1390.8</v>
      </c>
      <c r="C50" s="64">
        <v>469.4999999999998</v>
      </c>
      <c r="D50" s="64"/>
      <c r="E50" s="64"/>
      <c r="F50" s="64"/>
      <c r="G50" s="64"/>
      <c r="H50" s="64"/>
      <c r="I50" s="64">
        <v>1121.4</v>
      </c>
      <c r="J50" s="69"/>
      <c r="K50" s="64"/>
      <c r="L50" s="64"/>
      <c r="M50" s="69"/>
      <c r="N50" s="64"/>
      <c r="O50" s="68"/>
      <c r="P50" s="64"/>
      <c r="Q50" s="64"/>
      <c r="R50" s="64"/>
      <c r="S50" s="69"/>
      <c r="T50" s="69"/>
      <c r="U50" s="69"/>
      <c r="V50" s="69"/>
      <c r="W50" s="69"/>
      <c r="X50" s="64"/>
      <c r="Y50" s="64"/>
      <c r="Z50" s="68">
        <f>SUM(D50:X50)</f>
        <v>1121.4</v>
      </c>
      <c r="AA50" s="69">
        <f>B50+C50-Z50</f>
        <v>738.8999999999996</v>
      </c>
    </row>
    <row r="51" spans="1:28" ht="14.25" customHeight="1">
      <c r="A51" s="4" t="s">
        <v>9</v>
      </c>
      <c r="B51" s="35">
        <v>2746.9</v>
      </c>
      <c r="C51" s="64">
        <v>1626.1999999999998</v>
      </c>
      <c r="D51" s="64">
        <v>480</v>
      </c>
      <c r="E51" s="64"/>
      <c r="F51" s="64"/>
      <c r="G51" s="64"/>
      <c r="H51" s="64"/>
      <c r="I51" s="64">
        <v>72.9</v>
      </c>
      <c r="J51" s="69"/>
      <c r="K51" s="64"/>
      <c r="L51" s="64"/>
      <c r="M51" s="69">
        <v>485</v>
      </c>
      <c r="N51" s="64">
        <v>7.9</v>
      </c>
      <c r="O51" s="68"/>
      <c r="P51" s="64"/>
      <c r="Q51" s="68"/>
      <c r="R51" s="64">
        <v>286</v>
      </c>
      <c r="S51" s="69"/>
      <c r="T51" s="69"/>
      <c r="U51" s="69"/>
      <c r="V51" s="69">
        <v>946</v>
      </c>
      <c r="W51" s="69">
        <v>17.1</v>
      </c>
      <c r="X51" s="64"/>
      <c r="Y51" s="64"/>
      <c r="Z51" s="68">
        <f>SUM(D51:X51)</f>
        <v>2294.9</v>
      </c>
      <c r="AA51" s="69">
        <f>B51+C51-Z51</f>
        <v>2078.2000000000003</v>
      </c>
      <c r="AB51" s="6"/>
    </row>
    <row r="52" spans="1:28" ht="15">
      <c r="A52" s="3" t="s">
        <v>5</v>
      </c>
      <c r="B52" s="22">
        <v>1578.6</v>
      </c>
      <c r="C52" s="64">
        <v>290.4000000000001</v>
      </c>
      <c r="D52" s="64"/>
      <c r="E52" s="64"/>
      <c r="F52" s="64"/>
      <c r="G52" s="64"/>
      <c r="H52" s="64"/>
      <c r="I52" s="64"/>
      <c r="J52" s="69"/>
      <c r="K52" s="64"/>
      <c r="L52" s="64"/>
      <c r="M52" s="69">
        <v>485</v>
      </c>
      <c r="N52" s="64"/>
      <c r="O52" s="68"/>
      <c r="P52" s="64"/>
      <c r="Q52" s="68"/>
      <c r="R52" s="64"/>
      <c r="S52" s="69"/>
      <c r="T52" s="69"/>
      <c r="U52" s="69"/>
      <c r="V52" s="69">
        <v>793.9</v>
      </c>
      <c r="W52" s="69"/>
      <c r="X52" s="64"/>
      <c r="Y52" s="64"/>
      <c r="Z52" s="68">
        <f>SUM(D52:X52)</f>
        <v>1278.9</v>
      </c>
      <c r="AA52" s="69">
        <f>B52+C52-Z52</f>
        <v>590.0999999999999</v>
      </c>
      <c r="AB52" s="6"/>
    </row>
    <row r="53" spans="1:27" ht="15">
      <c r="A53" s="3" t="s">
        <v>2</v>
      </c>
      <c r="B53" s="28">
        <v>225.2</v>
      </c>
      <c r="C53" s="64">
        <v>652.1999999999999</v>
      </c>
      <c r="D53" s="64"/>
      <c r="E53" s="64"/>
      <c r="F53" s="64"/>
      <c r="G53" s="64"/>
      <c r="H53" s="64"/>
      <c r="I53" s="64">
        <v>12.2</v>
      </c>
      <c r="J53" s="69"/>
      <c r="K53" s="64"/>
      <c r="L53" s="64"/>
      <c r="M53" s="69"/>
      <c r="N53" s="64">
        <v>4</v>
      </c>
      <c r="O53" s="68"/>
      <c r="P53" s="64"/>
      <c r="Q53" s="68"/>
      <c r="R53" s="64">
        <v>39.7</v>
      </c>
      <c r="S53" s="69"/>
      <c r="T53" s="69"/>
      <c r="U53" s="69"/>
      <c r="V53" s="69">
        <v>113.4</v>
      </c>
      <c r="W53" s="69"/>
      <c r="X53" s="64"/>
      <c r="Y53" s="64"/>
      <c r="Z53" s="68">
        <f>SUM(D53:X53)</f>
        <v>169.3</v>
      </c>
      <c r="AA53" s="69">
        <f>B53+C53-Z53</f>
        <v>708.0999999999999</v>
      </c>
    </row>
    <row r="54" spans="1:27" ht="15">
      <c r="A54" s="3" t="s">
        <v>16</v>
      </c>
      <c r="B54" s="28">
        <v>23</v>
      </c>
      <c r="C54" s="64">
        <v>0</v>
      </c>
      <c r="D54" s="64"/>
      <c r="E54" s="64"/>
      <c r="F54" s="64"/>
      <c r="G54" s="64"/>
      <c r="H54" s="64"/>
      <c r="I54" s="64"/>
      <c r="J54" s="69"/>
      <c r="K54" s="64"/>
      <c r="L54" s="64"/>
      <c r="M54" s="69"/>
      <c r="N54" s="64"/>
      <c r="O54" s="68"/>
      <c r="P54" s="64"/>
      <c r="Q54" s="68"/>
      <c r="R54" s="64"/>
      <c r="S54" s="69"/>
      <c r="T54" s="69"/>
      <c r="U54" s="69"/>
      <c r="V54" s="69">
        <v>23</v>
      </c>
      <c r="W54" s="69"/>
      <c r="X54" s="64"/>
      <c r="Y54" s="64"/>
      <c r="Z54" s="68">
        <f>SUM(D54:X54)</f>
        <v>23</v>
      </c>
      <c r="AA54" s="69">
        <f>B54+C54-Z54</f>
        <v>0</v>
      </c>
    </row>
    <row r="55" spans="1:27" ht="15" hidden="1">
      <c r="A55" s="3" t="s">
        <v>15</v>
      </c>
      <c r="B55" s="22">
        <v>23</v>
      </c>
      <c r="C55" s="64">
        <v>0</v>
      </c>
      <c r="D55" s="64"/>
      <c r="E55" s="64"/>
      <c r="F55" s="64"/>
      <c r="G55" s="64"/>
      <c r="H55" s="64"/>
      <c r="I55" s="64"/>
      <c r="J55" s="69"/>
      <c r="K55" s="64"/>
      <c r="L55" s="64"/>
      <c r="M55" s="69"/>
      <c r="N55" s="64"/>
      <c r="O55" s="68"/>
      <c r="P55" s="64"/>
      <c r="Q55" s="68"/>
      <c r="R55" s="64"/>
      <c r="S55" s="69"/>
      <c r="T55" s="69"/>
      <c r="U55" s="64"/>
      <c r="V55" s="64"/>
      <c r="W55" s="64"/>
      <c r="X55" s="69"/>
      <c r="Y55" s="64"/>
      <c r="Z55" s="68">
        <f>SUM(D55:X55)</f>
        <v>0</v>
      </c>
      <c r="AA55" s="69">
        <f>B55+C55-Z55</f>
        <v>23</v>
      </c>
    </row>
    <row r="56" spans="1:27" ht="15">
      <c r="A56" s="3" t="s">
        <v>21</v>
      </c>
      <c r="B56" s="22">
        <f>B51-B52-B53-B55-B54</f>
        <v>897.1000000000001</v>
      </c>
      <c r="C56" s="64">
        <v>683.5999999999998</v>
      </c>
      <c r="D56" s="64">
        <f>D51-D52-D53-D55-D54</f>
        <v>480</v>
      </c>
      <c r="E56" s="64">
        <f aca="true" t="shared" si="6" ref="E56:X56">E51-E52-E53-E55-E54</f>
        <v>0</v>
      </c>
      <c r="F56" s="64">
        <f t="shared" si="6"/>
        <v>0</v>
      </c>
      <c r="G56" s="64">
        <f t="shared" si="6"/>
        <v>0</v>
      </c>
      <c r="H56" s="64">
        <f t="shared" si="6"/>
        <v>0</v>
      </c>
      <c r="I56" s="64">
        <f t="shared" si="6"/>
        <v>60.7</v>
      </c>
      <c r="J56" s="64">
        <f t="shared" si="6"/>
        <v>0</v>
      </c>
      <c r="K56" s="64">
        <f t="shared" si="6"/>
        <v>0</v>
      </c>
      <c r="L56" s="64">
        <f t="shared" si="6"/>
        <v>0</v>
      </c>
      <c r="M56" s="64">
        <f t="shared" si="6"/>
        <v>0</v>
      </c>
      <c r="N56" s="64">
        <f t="shared" si="6"/>
        <v>3.9000000000000004</v>
      </c>
      <c r="O56" s="64">
        <f t="shared" si="6"/>
        <v>0</v>
      </c>
      <c r="P56" s="64">
        <f t="shared" si="6"/>
        <v>0</v>
      </c>
      <c r="Q56" s="64">
        <f t="shared" si="6"/>
        <v>0</v>
      </c>
      <c r="R56" s="64">
        <f t="shared" si="6"/>
        <v>246.3</v>
      </c>
      <c r="S56" s="64">
        <f t="shared" si="6"/>
        <v>0</v>
      </c>
      <c r="T56" s="64">
        <f t="shared" si="6"/>
        <v>0</v>
      </c>
      <c r="U56" s="64">
        <f t="shared" si="6"/>
        <v>0</v>
      </c>
      <c r="V56" s="64">
        <f t="shared" si="6"/>
        <v>15.700000000000017</v>
      </c>
      <c r="W56" s="64">
        <f t="shared" si="6"/>
        <v>17.1</v>
      </c>
      <c r="X56" s="64">
        <f t="shared" si="6"/>
        <v>0</v>
      </c>
      <c r="Y56" s="64"/>
      <c r="Z56" s="64">
        <f>Z51-Z52-Z53-Z55-Z54</f>
        <v>823.7</v>
      </c>
      <c r="AA56" s="69">
        <f>AA51-AA52-AA53-AA55-AA54</f>
        <v>757.0000000000005</v>
      </c>
    </row>
    <row r="57" spans="1:27" ht="15" customHeight="1">
      <c r="A57" s="4" t="s">
        <v>10</v>
      </c>
      <c r="B57" s="22">
        <f>107+10</f>
        <v>117</v>
      </c>
      <c r="C57" s="64">
        <v>188.89999999999998</v>
      </c>
      <c r="D57" s="64"/>
      <c r="E57" s="64"/>
      <c r="F57" s="64"/>
      <c r="G57" s="64"/>
      <c r="H57" s="64"/>
      <c r="I57" s="64">
        <v>89.3</v>
      </c>
      <c r="J57" s="69"/>
      <c r="K57" s="64"/>
      <c r="L57" s="64"/>
      <c r="M57" s="69"/>
      <c r="N57" s="64"/>
      <c r="O57" s="68"/>
      <c r="P57" s="64"/>
      <c r="Q57" s="68"/>
      <c r="R57" s="64"/>
      <c r="S57" s="69"/>
      <c r="T57" s="69"/>
      <c r="U57" s="69"/>
      <c r="V57" s="69"/>
      <c r="W57" s="69"/>
      <c r="X57" s="64"/>
      <c r="Y57" s="64"/>
      <c r="Z57" s="68">
        <f>SUM(D57:X57)</f>
        <v>89.3</v>
      </c>
      <c r="AA57" s="69">
        <f>B57+C57-Z57</f>
        <v>216.59999999999997</v>
      </c>
    </row>
    <row r="58" spans="1:27" ht="15" customHeight="1">
      <c r="A58" s="4" t="s">
        <v>11</v>
      </c>
      <c r="B58" s="22">
        <v>5257.799999999999</v>
      </c>
      <c r="C58" s="64">
        <v>2801.4000000000024</v>
      </c>
      <c r="D58" s="64"/>
      <c r="E58" s="64"/>
      <c r="F58" s="64"/>
      <c r="G58" s="64"/>
      <c r="H58" s="64"/>
      <c r="I58" s="64"/>
      <c r="J58" s="69"/>
      <c r="K58" s="64"/>
      <c r="L58" s="64"/>
      <c r="M58" s="69">
        <v>1429.5</v>
      </c>
      <c r="N58" s="64">
        <f>84-6-1.2</f>
        <v>76.8</v>
      </c>
      <c r="O58" s="68"/>
      <c r="P58" s="64"/>
      <c r="Q58" s="68"/>
      <c r="R58" s="64">
        <v>11.5</v>
      </c>
      <c r="S58" s="69"/>
      <c r="T58" s="69"/>
      <c r="U58" s="69"/>
      <c r="V58" s="69">
        <v>2264.3</v>
      </c>
      <c r="W58" s="69">
        <v>21.2</v>
      </c>
      <c r="X58" s="64"/>
      <c r="Y58" s="64"/>
      <c r="Z58" s="68">
        <f>SUM(D58:X58)</f>
        <v>3803.3</v>
      </c>
      <c r="AA58" s="69">
        <f>B58+C58-Z58</f>
        <v>4255.9000000000015</v>
      </c>
    </row>
    <row r="59" spans="1:28" ht="15">
      <c r="A59" s="3" t="s">
        <v>5</v>
      </c>
      <c r="B59" s="22">
        <v>2892.8999999999996</v>
      </c>
      <c r="C59" s="64">
        <v>875.2000000000007</v>
      </c>
      <c r="D59" s="64"/>
      <c r="E59" s="64"/>
      <c r="F59" s="64"/>
      <c r="G59" s="64"/>
      <c r="H59" s="64"/>
      <c r="I59" s="64"/>
      <c r="J59" s="69"/>
      <c r="K59" s="64"/>
      <c r="L59" s="64"/>
      <c r="M59" s="69">
        <v>1063.4</v>
      </c>
      <c r="N59" s="64"/>
      <c r="O59" s="68"/>
      <c r="P59" s="64"/>
      <c r="Q59" s="68"/>
      <c r="R59" s="64"/>
      <c r="S59" s="69"/>
      <c r="T59" s="69"/>
      <c r="U59" s="69"/>
      <c r="V59" s="69">
        <v>1426.4</v>
      </c>
      <c r="W59" s="69"/>
      <c r="X59" s="64"/>
      <c r="Y59" s="64"/>
      <c r="Z59" s="68">
        <f>SUM(D59:X59)</f>
        <v>2489.8</v>
      </c>
      <c r="AA59" s="69">
        <f>B59+C59-Z59</f>
        <v>1278.3000000000002</v>
      </c>
      <c r="AB59" s="48"/>
    </row>
    <row r="60" spans="1:28" ht="15">
      <c r="A60" s="3" t="s">
        <v>1</v>
      </c>
      <c r="B60" s="22">
        <v>494.6</v>
      </c>
      <c r="C60" s="64">
        <v>346.19999999999993</v>
      </c>
      <c r="D60" s="64"/>
      <c r="E60" s="64"/>
      <c r="F60" s="64"/>
      <c r="G60" s="64"/>
      <c r="H60" s="64"/>
      <c r="I60" s="64"/>
      <c r="J60" s="69"/>
      <c r="K60" s="64"/>
      <c r="L60" s="64"/>
      <c r="M60" s="69"/>
      <c r="N60" s="64"/>
      <c r="O60" s="68"/>
      <c r="P60" s="64"/>
      <c r="Q60" s="68"/>
      <c r="R60" s="64"/>
      <c r="S60" s="69"/>
      <c r="T60" s="69"/>
      <c r="U60" s="69"/>
      <c r="V60" s="69">
        <v>3.6</v>
      </c>
      <c r="W60" s="69"/>
      <c r="X60" s="64"/>
      <c r="Y60" s="64"/>
      <c r="Z60" s="68">
        <f>SUM(D60:X60)</f>
        <v>3.6</v>
      </c>
      <c r="AA60" s="69">
        <f>B60+C60-Z60</f>
        <v>837.1999999999999</v>
      </c>
      <c r="AB60" s="6"/>
    </row>
    <row r="61" spans="1:27" ht="15">
      <c r="A61" s="3" t="s">
        <v>2</v>
      </c>
      <c r="B61" s="22">
        <v>106.30000000000007</v>
      </c>
      <c r="C61" s="64">
        <v>282.3</v>
      </c>
      <c r="D61" s="64"/>
      <c r="E61" s="64"/>
      <c r="F61" s="64"/>
      <c r="G61" s="64"/>
      <c r="H61" s="64"/>
      <c r="I61" s="64"/>
      <c r="J61" s="69"/>
      <c r="K61" s="64"/>
      <c r="L61" s="64"/>
      <c r="M61" s="69"/>
      <c r="N61" s="64">
        <v>40.2</v>
      </c>
      <c r="O61" s="68"/>
      <c r="P61" s="64"/>
      <c r="Q61" s="64"/>
      <c r="R61" s="64"/>
      <c r="S61" s="69"/>
      <c r="T61" s="69"/>
      <c r="U61" s="69"/>
      <c r="V61" s="69">
        <v>28</v>
      </c>
      <c r="W61" s="69">
        <v>0.2</v>
      </c>
      <c r="X61" s="64"/>
      <c r="Y61" s="64"/>
      <c r="Z61" s="68">
        <f>SUM(D61:X61)</f>
        <v>68.4</v>
      </c>
      <c r="AA61" s="69">
        <f>B61+C61-Z61</f>
        <v>320.20000000000005</v>
      </c>
    </row>
    <row r="62" spans="1:27" ht="15">
      <c r="A62" s="3" t="s">
        <v>16</v>
      </c>
      <c r="B62" s="22">
        <v>436.19999999999993</v>
      </c>
      <c r="C62" s="64">
        <v>63.80000000000001</v>
      </c>
      <c r="D62" s="64"/>
      <c r="E62" s="64"/>
      <c r="F62" s="64"/>
      <c r="G62" s="64"/>
      <c r="H62" s="64"/>
      <c r="I62" s="64"/>
      <c r="J62" s="69"/>
      <c r="K62" s="64"/>
      <c r="L62" s="64"/>
      <c r="M62" s="69"/>
      <c r="N62" s="64"/>
      <c r="O62" s="64"/>
      <c r="P62" s="64"/>
      <c r="Q62" s="64"/>
      <c r="R62" s="64"/>
      <c r="S62" s="69"/>
      <c r="T62" s="69"/>
      <c r="U62" s="64"/>
      <c r="V62" s="64">
        <v>396.4</v>
      </c>
      <c r="W62" s="64"/>
      <c r="X62" s="69"/>
      <c r="Y62" s="64"/>
      <c r="Z62" s="68">
        <f>SUM(D62:X62)</f>
        <v>396.4</v>
      </c>
      <c r="AA62" s="69">
        <f>B62+C62-Z62</f>
        <v>103.59999999999997</v>
      </c>
    </row>
    <row r="63" spans="1:27" ht="15">
      <c r="A63" s="3" t="s">
        <v>21</v>
      </c>
      <c r="B63" s="22">
        <f>B58-B59-B61-B62-B60</f>
        <v>1327.7999999999997</v>
      </c>
      <c r="C63" s="64">
        <v>1233.900000000002</v>
      </c>
      <c r="D63" s="64">
        <f aca="true" t="shared" si="7" ref="D63:W63">D58-D59-D61-D62-D60</f>
        <v>0</v>
      </c>
      <c r="E63" s="64">
        <f t="shared" si="7"/>
        <v>0</v>
      </c>
      <c r="F63" s="64">
        <f t="shared" si="7"/>
        <v>0</v>
      </c>
      <c r="G63" s="64">
        <f t="shared" si="7"/>
        <v>0</v>
      </c>
      <c r="H63" s="64">
        <f t="shared" si="7"/>
        <v>0</v>
      </c>
      <c r="I63" s="64">
        <f t="shared" si="7"/>
        <v>0</v>
      </c>
      <c r="J63" s="64">
        <f t="shared" si="7"/>
        <v>0</v>
      </c>
      <c r="K63" s="64">
        <f t="shared" si="7"/>
        <v>0</v>
      </c>
      <c r="L63" s="64">
        <f t="shared" si="7"/>
        <v>0</v>
      </c>
      <c r="M63" s="64">
        <f t="shared" si="7"/>
        <v>366.0999999999999</v>
      </c>
      <c r="N63" s="64">
        <f t="shared" si="7"/>
        <v>36.599999999999994</v>
      </c>
      <c r="O63" s="64">
        <f t="shared" si="7"/>
        <v>0</v>
      </c>
      <c r="P63" s="64">
        <f t="shared" si="7"/>
        <v>0</v>
      </c>
      <c r="Q63" s="64">
        <f t="shared" si="7"/>
        <v>0</v>
      </c>
      <c r="R63" s="64">
        <f t="shared" si="7"/>
        <v>11.5</v>
      </c>
      <c r="S63" s="64">
        <f t="shared" si="7"/>
        <v>0</v>
      </c>
      <c r="T63" s="64">
        <f t="shared" si="7"/>
        <v>0</v>
      </c>
      <c r="U63" s="64">
        <f t="shared" si="7"/>
        <v>0</v>
      </c>
      <c r="V63" s="64">
        <f t="shared" si="7"/>
        <v>409.9000000000001</v>
      </c>
      <c r="W63" s="64">
        <f t="shared" si="7"/>
        <v>21</v>
      </c>
      <c r="X63" s="64">
        <f>X58-X59-X61-X62-X60</f>
        <v>0</v>
      </c>
      <c r="Y63" s="64"/>
      <c r="Z63" s="68">
        <f>SUM(D63:X63)</f>
        <v>845.1</v>
      </c>
      <c r="AA63" s="69">
        <f>AA58-AA59-AA61-AA62-AA60</f>
        <v>1716.6000000000017</v>
      </c>
    </row>
    <row r="64" spans="1:27" ht="30.75">
      <c r="A64" s="4" t="s">
        <v>35</v>
      </c>
      <c r="B64" s="22">
        <f>2126.5-700+660-1083.5+6316.1</f>
        <v>7319.1</v>
      </c>
      <c r="C64" s="64">
        <v>1.6000000000003638</v>
      </c>
      <c r="D64" s="64"/>
      <c r="E64" s="64">
        <v>334.2</v>
      </c>
      <c r="F64" s="64"/>
      <c r="G64" s="64"/>
      <c r="H64" s="64"/>
      <c r="I64" s="64"/>
      <c r="J64" s="69"/>
      <c r="K64" s="64"/>
      <c r="L64" s="64"/>
      <c r="M64" s="69"/>
      <c r="N64" s="64">
        <v>670.2</v>
      </c>
      <c r="O64" s="64"/>
      <c r="P64" s="64"/>
      <c r="Q64" s="64"/>
      <c r="R64" s="64"/>
      <c r="S64" s="69"/>
      <c r="T64" s="69">
        <v>6079.8</v>
      </c>
      <c r="U64" s="64"/>
      <c r="V64" s="64"/>
      <c r="W64" s="64"/>
      <c r="X64" s="69"/>
      <c r="Y64" s="64"/>
      <c r="Z64" s="68">
        <f>SUM(D64:X64)</f>
        <v>7084.200000000001</v>
      </c>
      <c r="AA64" s="86">
        <f>B64+C64-Z64</f>
        <v>236.5</v>
      </c>
    </row>
    <row r="65" spans="1:44" ht="30.75">
      <c r="A65" s="4" t="s">
        <v>36</v>
      </c>
      <c r="B65" s="22">
        <v>898.7999999999997</v>
      </c>
      <c r="C65" s="76">
        <v>566.8</v>
      </c>
      <c r="D65" s="76"/>
      <c r="E65" s="76"/>
      <c r="F65" s="76"/>
      <c r="G65" s="76"/>
      <c r="H65" s="76"/>
      <c r="I65" s="76">
        <v>1465.6</v>
      </c>
      <c r="J65" s="77"/>
      <c r="K65" s="76"/>
      <c r="L65" s="76"/>
      <c r="M65" s="77"/>
      <c r="N65" s="76"/>
      <c r="O65" s="76"/>
      <c r="P65" s="76"/>
      <c r="Q65" s="78"/>
      <c r="R65" s="76"/>
      <c r="S65" s="77"/>
      <c r="T65" s="77"/>
      <c r="U65" s="77"/>
      <c r="V65" s="77"/>
      <c r="W65" s="77"/>
      <c r="X65" s="76"/>
      <c r="Y65" s="76"/>
      <c r="Z65" s="68">
        <f>SUM(D65:X65)</f>
        <v>1465.6</v>
      </c>
      <c r="AA65" s="86">
        <f>B65+C65-Z65</f>
        <v>0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27" ht="15" customHeight="1">
      <c r="A66" s="4" t="s">
        <v>37</v>
      </c>
      <c r="B66" s="35">
        <f>2383.5-170-200-75-105-50.7</f>
        <v>1782.8</v>
      </c>
      <c r="C66" s="64">
        <v>4636.8</v>
      </c>
      <c r="D66" s="64"/>
      <c r="E66" s="64">
        <v>80.5</v>
      </c>
      <c r="F66" s="64"/>
      <c r="G66" s="64"/>
      <c r="H66" s="64"/>
      <c r="I66" s="64">
        <v>497.6</v>
      </c>
      <c r="J66" s="69"/>
      <c r="K66" s="64"/>
      <c r="L66" s="64"/>
      <c r="M66" s="69"/>
      <c r="N66" s="64">
        <v>7.9</v>
      </c>
      <c r="O66" s="64"/>
      <c r="P66" s="64"/>
      <c r="Q66" s="68"/>
      <c r="R66" s="64">
        <v>1038.8</v>
      </c>
      <c r="S66" s="69">
        <v>381.6</v>
      </c>
      <c r="T66" s="69">
        <f>10.9+14.7</f>
        <v>25.6</v>
      </c>
      <c r="U66" s="69"/>
      <c r="V66" s="69"/>
      <c r="W66" s="69">
        <v>3</v>
      </c>
      <c r="X66" s="64"/>
      <c r="Y66" s="64"/>
      <c r="Z66" s="68">
        <f>SUM(D66:X66)</f>
        <v>2035</v>
      </c>
      <c r="AA66" s="86">
        <f>B66+C66-Z66</f>
        <v>4384.6</v>
      </c>
    </row>
    <row r="67" spans="1:27" ht="15" customHeight="1">
      <c r="A67" s="3" t="s">
        <v>5</v>
      </c>
      <c r="B67" s="22">
        <f>80.5-66-14.5</f>
        <v>0</v>
      </c>
      <c r="C67" s="64">
        <v>80.6</v>
      </c>
      <c r="D67" s="64"/>
      <c r="E67" s="64">
        <v>80.5</v>
      </c>
      <c r="F67" s="64"/>
      <c r="G67" s="64"/>
      <c r="H67" s="64"/>
      <c r="I67" s="64"/>
      <c r="J67" s="69"/>
      <c r="K67" s="64"/>
      <c r="L67" s="64"/>
      <c r="M67" s="69"/>
      <c r="N67" s="64"/>
      <c r="O67" s="64"/>
      <c r="P67" s="64"/>
      <c r="Q67" s="68"/>
      <c r="R67" s="64"/>
      <c r="S67" s="69"/>
      <c r="T67" s="69"/>
      <c r="U67" s="69"/>
      <c r="V67" s="69"/>
      <c r="W67" s="69"/>
      <c r="X67" s="64"/>
      <c r="Y67" s="64"/>
      <c r="Z67" s="68">
        <f>SUM(D67:X67)</f>
        <v>80.5</v>
      </c>
      <c r="AA67" s="86">
        <f>B67+C67-Z67</f>
        <v>0.09999999999999432</v>
      </c>
    </row>
    <row r="68" spans="1:27" ht="15" customHeight="1">
      <c r="A68" s="3" t="s">
        <v>2</v>
      </c>
      <c r="B68" s="22">
        <v>627.3</v>
      </c>
      <c r="C68" s="64">
        <v>2503</v>
      </c>
      <c r="D68" s="64"/>
      <c r="E68" s="64"/>
      <c r="F68" s="64"/>
      <c r="G68" s="64"/>
      <c r="H68" s="64"/>
      <c r="I68" s="64">
        <v>5.4</v>
      </c>
      <c r="J68" s="69"/>
      <c r="K68" s="64"/>
      <c r="L68" s="64"/>
      <c r="M68" s="69"/>
      <c r="N68" s="64"/>
      <c r="O68" s="64"/>
      <c r="P68" s="64"/>
      <c r="Q68" s="68"/>
      <c r="R68" s="64">
        <v>1009.5</v>
      </c>
      <c r="S68" s="69"/>
      <c r="T68" s="69"/>
      <c r="U68" s="69"/>
      <c r="V68" s="69"/>
      <c r="W68" s="69"/>
      <c r="X68" s="64"/>
      <c r="Y68" s="64"/>
      <c r="Z68" s="68">
        <f>SUM(D68:X68)</f>
        <v>1014.9</v>
      </c>
      <c r="AA68" s="86">
        <f>B68+C68-Z68</f>
        <v>2115.4</v>
      </c>
    </row>
    <row r="69" spans="1:27" ht="15" customHeight="1">
      <c r="A69" s="3" t="s">
        <v>16</v>
      </c>
      <c r="B69" s="22">
        <v>18.4</v>
      </c>
      <c r="C69" s="64">
        <v>1.799999999999999</v>
      </c>
      <c r="D69" s="64"/>
      <c r="E69" s="64"/>
      <c r="F69" s="64"/>
      <c r="G69" s="64"/>
      <c r="H69" s="64"/>
      <c r="I69" s="64"/>
      <c r="J69" s="69"/>
      <c r="K69" s="64"/>
      <c r="L69" s="64"/>
      <c r="M69" s="69"/>
      <c r="N69" s="64"/>
      <c r="O69" s="64"/>
      <c r="P69" s="64"/>
      <c r="Q69" s="68"/>
      <c r="R69" s="64">
        <v>8.4</v>
      </c>
      <c r="S69" s="69"/>
      <c r="T69" s="69"/>
      <c r="U69" s="69"/>
      <c r="V69" s="69"/>
      <c r="W69" s="69"/>
      <c r="X69" s="64"/>
      <c r="Y69" s="64"/>
      <c r="Z69" s="68">
        <f>SUM(D69:X69)</f>
        <v>8.4</v>
      </c>
      <c r="AA69" s="86">
        <f>B69+C69-Z69</f>
        <v>11.799999999999995</v>
      </c>
    </row>
    <row r="70" spans="1:27" s="11" customFormat="1" ht="15">
      <c r="A70" s="12" t="s">
        <v>38</v>
      </c>
      <c r="B70" s="22">
        <v>240</v>
      </c>
      <c r="C70" s="64">
        <v>1672</v>
      </c>
      <c r="D70" s="64"/>
      <c r="E70" s="76"/>
      <c r="F70" s="76">
        <v>108</v>
      </c>
      <c r="G70" s="76">
        <v>1200</v>
      </c>
      <c r="H70" s="76"/>
      <c r="I70" s="76"/>
      <c r="J70" s="77"/>
      <c r="K70" s="76"/>
      <c r="L70" s="76">
        <v>66.3</v>
      </c>
      <c r="M70" s="77"/>
      <c r="N70" s="76">
        <v>0.4</v>
      </c>
      <c r="O70" s="76"/>
      <c r="P70" s="76"/>
      <c r="Q70" s="78"/>
      <c r="R70" s="76"/>
      <c r="S70" s="77"/>
      <c r="T70" s="77"/>
      <c r="U70" s="76">
        <v>124.9</v>
      </c>
      <c r="V70" s="76">
        <v>4.8</v>
      </c>
      <c r="W70" s="76">
        <v>0.1</v>
      </c>
      <c r="X70" s="77"/>
      <c r="Y70" s="76"/>
      <c r="Z70" s="68">
        <f>SUM(D70:X70)</f>
        <v>1504.5</v>
      </c>
      <c r="AA70" s="86">
        <f>B70+C70-Z70</f>
        <v>407.5</v>
      </c>
    </row>
    <row r="71" spans="1:27" s="11" customFormat="1" ht="15">
      <c r="A71" s="3" t="s">
        <v>5</v>
      </c>
      <c r="B71" s="22">
        <v>180.5</v>
      </c>
      <c r="C71" s="64">
        <v>23.899999999999977</v>
      </c>
      <c r="D71" s="64"/>
      <c r="E71" s="76"/>
      <c r="F71" s="76"/>
      <c r="G71" s="76"/>
      <c r="H71" s="76"/>
      <c r="I71" s="76"/>
      <c r="J71" s="77"/>
      <c r="K71" s="76"/>
      <c r="L71" s="76">
        <v>66.3</v>
      </c>
      <c r="M71" s="77"/>
      <c r="N71" s="76"/>
      <c r="O71" s="76"/>
      <c r="P71" s="76"/>
      <c r="Q71" s="78"/>
      <c r="R71" s="76"/>
      <c r="S71" s="77"/>
      <c r="T71" s="77"/>
      <c r="U71" s="76">
        <v>124.9</v>
      </c>
      <c r="V71" s="76"/>
      <c r="W71" s="76"/>
      <c r="X71" s="77"/>
      <c r="Y71" s="76"/>
      <c r="Z71" s="68">
        <f>SUM(D71:X71)</f>
        <v>191.2</v>
      </c>
      <c r="AA71" s="86">
        <f>B71+C71-Z71</f>
        <v>13.199999999999989</v>
      </c>
    </row>
    <row r="72" spans="1:27" s="11" customFormat="1" ht="15">
      <c r="A72" s="3" t="s">
        <v>2</v>
      </c>
      <c r="B72" s="22">
        <v>3.2</v>
      </c>
      <c r="C72" s="64">
        <v>11.3</v>
      </c>
      <c r="D72" s="64"/>
      <c r="E72" s="76"/>
      <c r="F72" s="76"/>
      <c r="G72" s="76"/>
      <c r="H72" s="76"/>
      <c r="I72" s="76"/>
      <c r="J72" s="77"/>
      <c r="K72" s="76"/>
      <c r="L72" s="76"/>
      <c r="M72" s="77"/>
      <c r="N72" s="76">
        <v>0.4</v>
      </c>
      <c r="O72" s="76"/>
      <c r="P72" s="76"/>
      <c r="Q72" s="78"/>
      <c r="R72" s="76"/>
      <c r="S72" s="77"/>
      <c r="T72" s="77"/>
      <c r="U72" s="76"/>
      <c r="V72" s="76">
        <v>4.8</v>
      </c>
      <c r="W72" s="76"/>
      <c r="X72" s="77"/>
      <c r="Y72" s="76"/>
      <c r="Z72" s="68">
        <f>SUM(D72:X72)</f>
        <v>5.2</v>
      </c>
      <c r="AA72" s="86">
        <f>B72+C72-Z72</f>
        <v>9.3</v>
      </c>
    </row>
    <row r="73" spans="1:27" s="11" customFormat="1" ht="15">
      <c r="A73" s="12" t="s">
        <v>39</v>
      </c>
      <c r="B73" s="22">
        <v>0</v>
      </c>
      <c r="C73" s="76">
        <v>0</v>
      </c>
      <c r="D73" s="76"/>
      <c r="E73" s="76"/>
      <c r="F73" s="76"/>
      <c r="G73" s="76"/>
      <c r="H73" s="76"/>
      <c r="I73" s="76"/>
      <c r="J73" s="77"/>
      <c r="K73" s="76"/>
      <c r="L73" s="76"/>
      <c r="M73" s="77"/>
      <c r="N73" s="76"/>
      <c r="O73" s="76"/>
      <c r="P73" s="76"/>
      <c r="Q73" s="76"/>
      <c r="R73" s="76"/>
      <c r="S73" s="77"/>
      <c r="T73" s="77"/>
      <c r="U73" s="76"/>
      <c r="V73" s="76"/>
      <c r="W73" s="76"/>
      <c r="X73" s="77"/>
      <c r="Y73" s="76"/>
      <c r="Z73" s="68">
        <f>SUM(D73:X73)</f>
        <v>0</v>
      </c>
      <c r="AA73" s="86">
        <f>B73+C73-Z73</f>
        <v>0</v>
      </c>
    </row>
    <row r="74" spans="1:27" s="11" customFormat="1" ht="15">
      <c r="A74" s="12" t="s">
        <v>42</v>
      </c>
      <c r="B74" s="24">
        <v>396.6</v>
      </c>
      <c r="C74" s="76">
        <v>0</v>
      </c>
      <c r="D74" s="76"/>
      <c r="E74" s="76"/>
      <c r="F74" s="76"/>
      <c r="G74" s="76"/>
      <c r="H74" s="76"/>
      <c r="I74" s="76"/>
      <c r="J74" s="76"/>
      <c r="K74" s="76"/>
      <c r="L74" s="76"/>
      <c r="M74" s="77"/>
      <c r="N74" s="76">
        <v>74.2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68">
        <f>SUM(D74:X74)</f>
        <v>74.2</v>
      </c>
      <c r="AA74" s="69">
        <f>B74+C74-Z74</f>
        <v>322.40000000000003</v>
      </c>
    </row>
    <row r="75" spans="1:29" ht="15">
      <c r="A75" s="4" t="s">
        <v>40</v>
      </c>
      <c r="B75" s="22">
        <f>9909.8-830-3670</f>
        <v>5409.799999999999</v>
      </c>
      <c r="C75" s="64">
        <v>5272.499999999998</v>
      </c>
      <c r="D75" s="64"/>
      <c r="E75" s="64"/>
      <c r="F75" s="64"/>
      <c r="G75" s="64"/>
      <c r="H75" s="64"/>
      <c r="I75" s="64">
        <v>2208.3</v>
      </c>
      <c r="J75" s="64"/>
      <c r="K75" s="64"/>
      <c r="L75" s="64"/>
      <c r="M75" s="69"/>
      <c r="N75" s="64"/>
      <c r="O75" s="64">
        <v>1406.8</v>
      </c>
      <c r="P75" s="64">
        <v>387.5</v>
      </c>
      <c r="Q75" s="64"/>
      <c r="R75" s="64">
        <v>116.7</v>
      </c>
      <c r="S75" s="69"/>
      <c r="T75" s="69"/>
      <c r="U75" s="64"/>
      <c r="V75" s="64"/>
      <c r="W75" s="64">
        <v>1683</v>
      </c>
      <c r="X75" s="69"/>
      <c r="Y75" s="64"/>
      <c r="Z75" s="68">
        <f>SUM(D75:X75)</f>
        <v>5802.3</v>
      </c>
      <c r="AA75" s="69">
        <f>B75+C75-Z75</f>
        <v>4879.999999999997</v>
      </c>
      <c r="AB75" s="11"/>
      <c r="AC75" s="82"/>
    </row>
    <row r="76" spans="1:28" ht="15">
      <c r="A76" s="4" t="s">
        <v>41</v>
      </c>
      <c r="B76" s="22">
        <v>7543.5</v>
      </c>
      <c r="C76" s="64">
        <v>0</v>
      </c>
      <c r="D76" s="64"/>
      <c r="E76" s="64"/>
      <c r="F76" s="64"/>
      <c r="G76" s="64"/>
      <c r="H76" s="64"/>
      <c r="I76" s="64"/>
      <c r="J76" s="64"/>
      <c r="K76" s="64">
        <v>2514.5</v>
      </c>
      <c r="L76" s="64"/>
      <c r="M76" s="69"/>
      <c r="N76" s="64"/>
      <c r="O76" s="64"/>
      <c r="P76" s="64">
        <v>2514.5</v>
      </c>
      <c r="Q76" s="64"/>
      <c r="R76" s="64"/>
      <c r="S76" s="69"/>
      <c r="T76" s="69"/>
      <c r="U76" s="64"/>
      <c r="V76" s="64"/>
      <c r="W76" s="64"/>
      <c r="X76" s="69">
        <v>2514.5</v>
      </c>
      <c r="Y76" s="64"/>
      <c r="Z76" s="68">
        <f>SUM(D76:X76)</f>
        <v>7543.5</v>
      </c>
      <c r="AA76" s="69">
        <f>B76+C76-Z76</f>
        <v>0</v>
      </c>
      <c r="AB76" s="11"/>
    </row>
    <row r="77" spans="1:28" ht="15">
      <c r="A77" s="4" t="s">
        <v>22</v>
      </c>
      <c r="B77" s="22">
        <f>0+1714.7</f>
        <v>1714.7</v>
      </c>
      <c r="C77" s="64">
        <v>2.2737367544323206E-13</v>
      </c>
      <c r="D77" s="64"/>
      <c r="E77" s="64"/>
      <c r="F77" s="64"/>
      <c r="G77" s="64"/>
      <c r="H77" s="64"/>
      <c r="I77" s="64"/>
      <c r="J77" s="64"/>
      <c r="K77" s="64"/>
      <c r="L77" s="64"/>
      <c r="M77" s="69"/>
      <c r="N77" s="64"/>
      <c r="O77" s="64"/>
      <c r="P77" s="64"/>
      <c r="Q77" s="64"/>
      <c r="R77" s="64"/>
      <c r="S77" s="69"/>
      <c r="T77" s="69"/>
      <c r="U77" s="64"/>
      <c r="V77" s="64"/>
      <c r="W77" s="64"/>
      <c r="X77" s="69"/>
      <c r="Y77" s="64"/>
      <c r="Z77" s="68">
        <f>SUM(D77:X77)</f>
        <v>0</v>
      </c>
      <c r="AA77" s="69">
        <f>B77+C77-Z77</f>
        <v>1714.7000000000003</v>
      </c>
      <c r="AB77" s="11"/>
    </row>
    <row r="78" spans="1:28" ht="15">
      <c r="A78" s="4" t="s">
        <v>30</v>
      </c>
      <c r="B78" s="22">
        <f>48172.2+1400+4752-261.5+1871.8-2956.9</f>
        <v>52977.6</v>
      </c>
      <c r="C78" s="64">
        <v>24881.700000000004</v>
      </c>
      <c r="D78" s="64">
        <v>4700.4</v>
      </c>
      <c r="E78" s="64">
        <v>20967.5</v>
      </c>
      <c r="F78" s="64"/>
      <c r="G78" s="64">
        <v>-11.9</v>
      </c>
      <c r="H78" s="64"/>
      <c r="I78" s="64">
        <v>10686.6</v>
      </c>
      <c r="J78" s="64">
        <v>16856</v>
      </c>
      <c r="K78" s="64"/>
      <c r="L78" s="64"/>
      <c r="M78" s="69"/>
      <c r="N78" s="64"/>
      <c r="O78" s="64"/>
      <c r="P78" s="64">
        <v>698.2</v>
      </c>
      <c r="Q78" s="64"/>
      <c r="R78" s="64">
        <v>4794.8</v>
      </c>
      <c r="S78" s="69"/>
      <c r="T78" s="69"/>
      <c r="U78" s="64"/>
      <c r="V78" s="64"/>
      <c r="W78" s="64"/>
      <c r="X78" s="69"/>
      <c r="Y78" s="64"/>
      <c r="Z78" s="68">
        <f>SUM(D78:X78)</f>
        <v>58691.6</v>
      </c>
      <c r="AA78" s="69">
        <f>B78+C78-Z78</f>
        <v>19167.700000000004</v>
      </c>
      <c r="AB78" s="56"/>
    </row>
    <row r="79" spans="1:27" ht="15">
      <c r="A79" s="7"/>
      <c r="B79" s="22"/>
      <c r="C79" s="64"/>
      <c r="D79" s="64"/>
      <c r="E79" s="64"/>
      <c r="F79" s="64"/>
      <c r="G79" s="64"/>
      <c r="H79" s="64"/>
      <c r="I79" s="64"/>
      <c r="J79" s="69"/>
      <c r="K79" s="64"/>
      <c r="L79" s="64"/>
      <c r="M79" s="69"/>
      <c r="N79" s="64"/>
      <c r="O79" s="64"/>
      <c r="P79" s="64"/>
      <c r="Q79" s="64"/>
      <c r="R79" s="64"/>
      <c r="S79" s="69"/>
      <c r="T79" s="69"/>
      <c r="U79" s="64"/>
      <c r="V79" s="64"/>
      <c r="W79" s="64"/>
      <c r="X79" s="69"/>
      <c r="Y79" s="64"/>
      <c r="Z79" s="64"/>
      <c r="AA79" s="64"/>
    </row>
    <row r="80" spans="1:27" s="5" customFormat="1" ht="15">
      <c r="A80" s="7" t="s">
        <v>24</v>
      </c>
      <c r="B80" s="34">
        <f>B10+B14+B22+B31+B44+B49+B51+B57+B58+B64+B65+B66+B70+B73+B74+B75+B76+B77+B38+B78</f>
        <v>225993.99999999988</v>
      </c>
      <c r="C80" s="34">
        <f>C10+C14+C22+C31+C44+C49+C51+C57+C58+C64+C65+C66+C70+C73+C74+C75+C76+C77+C38+C78</f>
        <v>89152.2</v>
      </c>
      <c r="D80" s="79">
        <f>D10+D14+D22+D31+D44+D49+D51+D57+D58+D64+D65+D66+D70+D73+D74+D75+D76+D77+D38+D78</f>
        <v>6153.799999999999</v>
      </c>
      <c r="E80" s="79">
        <f aca="true" t="shared" si="8" ref="E80:X80">E10+E14+E22+E31+E44+E49+E51+E57+E58+E64+E65+E66+E70+E73+E74+E75+E76+E77+E38+E78</f>
        <v>21382.2</v>
      </c>
      <c r="F80" s="79">
        <f t="shared" si="8"/>
        <v>183.9</v>
      </c>
      <c r="G80" s="79">
        <f t="shared" si="8"/>
        <v>1188.1</v>
      </c>
      <c r="H80" s="79">
        <f t="shared" si="8"/>
        <v>0</v>
      </c>
      <c r="I80" s="79">
        <f t="shared" si="8"/>
        <v>22610</v>
      </c>
      <c r="J80" s="79">
        <f t="shared" si="8"/>
        <v>16965</v>
      </c>
      <c r="K80" s="79">
        <f t="shared" si="8"/>
        <v>3616</v>
      </c>
      <c r="L80" s="79">
        <f t="shared" si="8"/>
        <v>1299.1000000000001</v>
      </c>
      <c r="M80" s="79">
        <f t="shared" si="8"/>
        <v>34926.4</v>
      </c>
      <c r="N80" s="79">
        <f t="shared" si="8"/>
        <v>10863.2</v>
      </c>
      <c r="O80" s="79">
        <f t="shared" si="8"/>
        <v>3032.6</v>
      </c>
      <c r="P80" s="79">
        <f t="shared" si="8"/>
        <v>4545.8</v>
      </c>
      <c r="Q80" s="79">
        <f t="shared" si="8"/>
        <v>0</v>
      </c>
      <c r="R80" s="79">
        <f t="shared" si="8"/>
        <v>11252.9</v>
      </c>
      <c r="S80" s="79">
        <f t="shared" si="8"/>
        <v>36609.1</v>
      </c>
      <c r="T80" s="79">
        <f t="shared" si="8"/>
        <v>13974.500000000002</v>
      </c>
      <c r="U80" s="79">
        <f t="shared" si="8"/>
        <v>4308.4</v>
      </c>
      <c r="V80" s="79">
        <f t="shared" si="8"/>
        <v>8217.300000000001</v>
      </c>
      <c r="W80" s="79">
        <f t="shared" si="8"/>
        <v>2967.9</v>
      </c>
      <c r="X80" s="79">
        <f t="shared" si="8"/>
        <v>3213.3</v>
      </c>
      <c r="Y80" s="79"/>
      <c r="Z80" s="79">
        <f>Z10+Z14+Z22+Z31+Z44+Z49+Z51+Z57+Z58+Z64+Z65+Z66+Z70+Z73+Z74+Z75+Z76+Z77+Z38+Z78</f>
        <v>207309.50000000003</v>
      </c>
      <c r="AA80" s="80">
        <f>AA10+AA14+AA22+AA31+AA44+AA49+AA51+AA57+AA58+AA64+AA65+AA66+AA70+AA73+AA74+AA75+AA76+AA77+AA38+AA78</f>
        <v>107836.69999999987</v>
      </c>
    </row>
    <row r="81" spans="1:27" ht="15">
      <c r="A81" s="3" t="s">
        <v>5</v>
      </c>
      <c r="B81" s="22">
        <f>B11+B16+B24+B32+B52+B59+B67+B39+B71+B45</f>
        <v>95704.89999999998</v>
      </c>
      <c r="C81" s="22">
        <f>C11+C16+C24+C32+C52+C59+C67+C39+C71+C45</f>
        <v>11512.400000000014</v>
      </c>
      <c r="D81" s="64">
        <f>D11+D16+D24+D32+D52+D59+D67+D39+D71+D45</f>
        <v>654.3</v>
      </c>
      <c r="E81" s="64">
        <f aca="true" t="shared" si="9" ref="E81:X81">E11+E16+E24+E32+E52+E59+E67+E39+E71+E45</f>
        <v>80.5</v>
      </c>
      <c r="F81" s="64">
        <f t="shared" si="9"/>
        <v>0</v>
      </c>
      <c r="G81" s="64">
        <f t="shared" si="9"/>
        <v>0</v>
      </c>
      <c r="H81" s="64">
        <f t="shared" si="9"/>
        <v>0</v>
      </c>
      <c r="I81" s="64">
        <f t="shared" si="9"/>
        <v>2275.9</v>
      </c>
      <c r="J81" s="64">
        <f t="shared" si="9"/>
        <v>0</v>
      </c>
      <c r="K81" s="64">
        <f t="shared" si="9"/>
        <v>1027.2</v>
      </c>
      <c r="L81" s="64">
        <f t="shared" si="9"/>
        <v>594.5999999999999</v>
      </c>
      <c r="M81" s="64">
        <f t="shared" si="9"/>
        <v>32518.5</v>
      </c>
      <c r="N81" s="64">
        <f t="shared" si="9"/>
        <v>0</v>
      </c>
      <c r="O81" s="64">
        <f t="shared" si="9"/>
        <v>1.7</v>
      </c>
      <c r="P81" s="64">
        <f t="shared" si="9"/>
        <v>0</v>
      </c>
      <c r="Q81" s="64">
        <f t="shared" si="9"/>
        <v>0</v>
      </c>
      <c r="R81" s="64">
        <f t="shared" si="9"/>
        <v>0</v>
      </c>
      <c r="S81" s="64">
        <f t="shared" si="9"/>
        <v>36026</v>
      </c>
      <c r="T81" s="64">
        <f t="shared" si="9"/>
        <v>6533.2</v>
      </c>
      <c r="U81" s="64">
        <f t="shared" si="9"/>
        <v>3088.1</v>
      </c>
      <c r="V81" s="64">
        <f t="shared" si="9"/>
        <v>4113.5</v>
      </c>
      <c r="W81" s="64">
        <f t="shared" si="9"/>
        <v>0</v>
      </c>
      <c r="X81" s="64">
        <f t="shared" si="9"/>
        <v>0</v>
      </c>
      <c r="Y81" s="64"/>
      <c r="Z81" s="64">
        <f>SUM(D81:X81)</f>
        <v>86913.5</v>
      </c>
      <c r="AA81" s="68">
        <f>B81+C81-Z81</f>
        <v>20303.79999999999</v>
      </c>
    </row>
    <row r="82" spans="1:27" ht="15">
      <c r="A82" s="3" t="s">
        <v>2</v>
      </c>
      <c r="B82" s="22">
        <f>B12+B19+B27+B34+B53+B61+B42+B72+B68+B50</f>
        <v>8621.999999999998</v>
      </c>
      <c r="C82" s="22">
        <f>C12+C19+C27+C34+C53+C61+C42+C72+C68+C50</f>
        <v>8360.6</v>
      </c>
      <c r="D82" s="64">
        <f>D12+D19+D27+D34+D53+D61+D42+D72+D68+D50</f>
        <v>0</v>
      </c>
      <c r="E82" s="64">
        <f aca="true" t="shared" si="10" ref="E82:X82">E12+E19+E27+E34+E53+E61+E42+E72+E68+E50</f>
        <v>0</v>
      </c>
      <c r="F82" s="64">
        <f t="shared" si="10"/>
        <v>0</v>
      </c>
      <c r="G82" s="64">
        <f t="shared" si="10"/>
        <v>0</v>
      </c>
      <c r="H82" s="64">
        <f t="shared" si="10"/>
        <v>0</v>
      </c>
      <c r="I82" s="64">
        <f t="shared" si="10"/>
        <v>2264.9</v>
      </c>
      <c r="J82" s="64">
        <f t="shared" si="10"/>
        <v>0</v>
      </c>
      <c r="K82" s="64">
        <f t="shared" si="10"/>
        <v>0</v>
      </c>
      <c r="L82" s="64">
        <f t="shared" si="10"/>
        <v>0</v>
      </c>
      <c r="M82" s="64">
        <f t="shared" si="10"/>
        <v>0</v>
      </c>
      <c r="N82" s="64">
        <f t="shared" si="10"/>
        <v>822.5</v>
      </c>
      <c r="O82" s="64">
        <f t="shared" si="10"/>
        <v>0</v>
      </c>
      <c r="P82" s="64">
        <f t="shared" si="10"/>
        <v>0</v>
      </c>
      <c r="Q82" s="64">
        <f t="shared" si="10"/>
        <v>0</v>
      </c>
      <c r="R82" s="64">
        <f t="shared" si="10"/>
        <v>2550.8</v>
      </c>
      <c r="S82" s="64">
        <f t="shared" si="10"/>
        <v>0</v>
      </c>
      <c r="T82" s="64">
        <f t="shared" si="10"/>
        <v>0</v>
      </c>
      <c r="U82" s="64">
        <f t="shared" si="10"/>
        <v>0</v>
      </c>
      <c r="V82" s="64">
        <f t="shared" si="10"/>
        <v>1475.7</v>
      </c>
      <c r="W82" s="64">
        <f t="shared" si="10"/>
        <v>17</v>
      </c>
      <c r="X82" s="64">
        <f t="shared" si="10"/>
        <v>-119.7</v>
      </c>
      <c r="Y82" s="64"/>
      <c r="Z82" s="64">
        <f>SUM(D82:X82)</f>
        <v>7011.200000000001</v>
      </c>
      <c r="AA82" s="68">
        <f>B82+C82-Z82</f>
        <v>9971.399999999998</v>
      </c>
    </row>
    <row r="83" spans="1:27" ht="15">
      <c r="A83" s="3" t="s">
        <v>3</v>
      </c>
      <c r="B83" s="22">
        <f>B17+B25+B40</f>
        <v>41</v>
      </c>
      <c r="C83" s="22">
        <f>C17+C25+C40</f>
        <v>84.19999999999999</v>
      </c>
      <c r="D83" s="64">
        <f>D17+D25+D40</f>
        <v>0</v>
      </c>
      <c r="E83" s="64">
        <f aca="true" t="shared" si="11" ref="E83:X83">E17+E25+E40</f>
        <v>0</v>
      </c>
      <c r="F83" s="64">
        <f t="shared" si="11"/>
        <v>32.8</v>
      </c>
      <c r="G83" s="64">
        <f t="shared" si="11"/>
        <v>0</v>
      </c>
      <c r="H83" s="64">
        <f t="shared" si="11"/>
        <v>0</v>
      </c>
      <c r="I83" s="64">
        <f t="shared" si="11"/>
        <v>5.8</v>
      </c>
      <c r="J83" s="64">
        <f t="shared" si="11"/>
        <v>0</v>
      </c>
      <c r="K83" s="64">
        <f t="shared" si="11"/>
        <v>0</v>
      </c>
      <c r="L83" s="64">
        <f t="shared" si="11"/>
        <v>0</v>
      </c>
      <c r="M83" s="64">
        <f t="shared" si="11"/>
        <v>0</v>
      </c>
      <c r="N83" s="64">
        <f t="shared" si="11"/>
        <v>4.5</v>
      </c>
      <c r="O83" s="64">
        <f t="shared" si="11"/>
        <v>0</v>
      </c>
      <c r="P83" s="64">
        <f t="shared" si="11"/>
        <v>0</v>
      </c>
      <c r="Q83" s="64">
        <f t="shared" si="11"/>
        <v>0</v>
      </c>
      <c r="R83" s="64">
        <f t="shared" si="11"/>
        <v>0</v>
      </c>
      <c r="S83" s="64">
        <f t="shared" si="11"/>
        <v>0</v>
      </c>
      <c r="T83" s="64">
        <f t="shared" si="11"/>
        <v>0</v>
      </c>
      <c r="U83" s="64">
        <f t="shared" si="11"/>
        <v>0</v>
      </c>
      <c r="V83" s="64">
        <f t="shared" si="11"/>
        <v>0.7</v>
      </c>
      <c r="W83" s="64">
        <f t="shared" si="11"/>
        <v>0</v>
      </c>
      <c r="X83" s="64">
        <f t="shared" si="11"/>
        <v>0</v>
      </c>
      <c r="Y83" s="64"/>
      <c r="Z83" s="64">
        <f>SUM(D83:X83)</f>
        <v>43.8</v>
      </c>
      <c r="AA83" s="68">
        <f>B83+C83-Z83</f>
        <v>81.39999999999999</v>
      </c>
    </row>
    <row r="84" spans="1:27" ht="15">
      <c r="A84" s="3" t="s">
        <v>1</v>
      </c>
      <c r="B84" s="22">
        <f>B18+B26+B60+B33+B41+B46</f>
        <v>5814.900000000001</v>
      </c>
      <c r="C84" s="22">
        <f>C18+C26+C60+C33+C41+C46</f>
        <v>4174.000000000002</v>
      </c>
      <c r="D84" s="22">
        <f>D18+D26+D60+D33+D41+D46</f>
        <v>0</v>
      </c>
      <c r="E84" s="22">
        <f aca="true" t="shared" si="12" ref="E84:X84">E18+E26+E60+E33+E41+E46</f>
        <v>0</v>
      </c>
      <c r="F84" s="22">
        <f t="shared" si="12"/>
        <v>0</v>
      </c>
      <c r="G84" s="22">
        <f t="shared" si="12"/>
        <v>0</v>
      </c>
      <c r="H84" s="22">
        <f t="shared" si="12"/>
        <v>0</v>
      </c>
      <c r="I84" s="22">
        <f t="shared" si="12"/>
        <v>145.5</v>
      </c>
      <c r="J84" s="22">
        <f t="shared" si="12"/>
        <v>0</v>
      </c>
      <c r="K84" s="22">
        <f t="shared" si="12"/>
        <v>0</v>
      </c>
      <c r="L84" s="22">
        <f t="shared" si="12"/>
        <v>0</v>
      </c>
      <c r="M84" s="22">
        <f t="shared" si="12"/>
        <v>0</v>
      </c>
      <c r="N84" s="22">
        <f t="shared" si="12"/>
        <v>70.10000000000001</v>
      </c>
      <c r="O84" s="22">
        <f t="shared" si="12"/>
        <v>0</v>
      </c>
      <c r="P84" s="22">
        <f t="shared" si="12"/>
        <v>0</v>
      </c>
      <c r="Q84" s="22">
        <f t="shared" si="12"/>
        <v>0</v>
      </c>
      <c r="R84" s="22">
        <f t="shared" si="12"/>
        <v>19.8</v>
      </c>
      <c r="S84" s="22">
        <f t="shared" si="12"/>
        <v>0</v>
      </c>
      <c r="T84" s="22">
        <f t="shared" si="12"/>
        <v>0</v>
      </c>
      <c r="U84" s="22">
        <f t="shared" si="12"/>
        <v>0</v>
      </c>
      <c r="V84" s="22">
        <f t="shared" si="12"/>
        <v>95.19999999999999</v>
      </c>
      <c r="W84" s="22">
        <f t="shared" si="12"/>
        <v>0</v>
      </c>
      <c r="X84" s="22">
        <f t="shared" si="12"/>
        <v>0</v>
      </c>
      <c r="Y84" s="22">
        <f>Y18+Y26+Y60+Y33+Y41+Y46</f>
        <v>0</v>
      </c>
      <c r="Z84" s="22">
        <f>Z18+Z26+Z60+Z33+Z41+Z46</f>
        <v>330.6</v>
      </c>
      <c r="AA84" s="68">
        <f>B84+C84-Z84</f>
        <v>9658.300000000001</v>
      </c>
    </row>
    <row r="85" spans="1:27" ht="15">
      <c r="A85" s="3" t="s">
        <v>16</v>
      </c>
      <c r="B85" s="22">
        <f>B20+B28+B47+B35+B54+B69+B62</f>
        <v>4421.5</v>
      </c>
      <c r="C85" s="22">
        <f>C20+C28+C47+C35+C54+C69+C62</f>
        <v>4514.300000000001</v>
      </c>
      <c r="D85" s="64">
        <f>D20+D28+D47+D35+D54+D69+D62</f>
        <v>319.1</v>
      </c>
      <c r="E85" s="64">
        <f aca="true" t="shared" si="13" ref="E85:X85">E20+E28+E47+E35+E54+E69+E62</f>
        <v>0</v>
      </c>
      <c r="F85" s="64">
        <f t="shared" si="13"/>
        <v>0</v>
      </c>
      <c r="G85" s="64">
        <f t="shared" si="13"/>
        <v>0</v>
      </c>
      <c r="H85" s="64">
        <f t="shared" si="13"/>
        <v>0</v>
      </c>
      <c r="I85" s="64">
        <f t="shared" si="13"/>
        <v>2061.5</v>
      </c>
      <c r="J85" s="64">
        <f t="shared" si="13"/>
        <v>0</v>
      </c>
      <c r="K85" s="64">
        <f t="shared" si="13"/>
        <v>18.3</v>
      </c>
      <c r="L85" s="64">
        <f t="shared" si="13"/>
        <v>0</v>
      </c>
      <c r="M85" s="64">
        <f t="shared" si="13"/>
        <v>435.9</v>
      </c>
      <c r="N85" s="64">
        <f t="shared" si="13"/>
        <v>1.2</v>
      </c>
      <c r="O85" s="64">
        <f t="shared" si="13"/>
        <v>0</v>
      </c>
      <c r="P85" s="64">
        <f t="shared" si="13"/>
        <v>0</v>
      </c>
      <c r="Q85" s="64">
        <f t="shared" si="13"/>
        <v>0</v>
      </c>
      <c r="R85" s="64">
        <f t="shared" si="13"/>
        <v>355.4</v>
      </c>
      <c r="S85" s="64">
        <f t="shared" si="13"/>
        <v>0</v>
      </c>
      <c r="T85" s="64">
        <f t="shared" si="13"/>
        <v>0</v>
      </c>
      <c r="U85" s="64">
        <f t="shared" si="13"/>
        <v>0</v>
      </c>
      <c r="V85" s="64">
        <f t="shared" si="13"/>
        <v>925.6</v>
      </c>
      <c r="W85" s="64">
        <f t="shared" si="13"/>
        <v>173.9</v>
      </c>
      <c r="X85" s="64">
        <f t="shared" si="13"/>
        <v>0</v>
      </c>
      <c r="Y85" s="64"/>
      <c r="Z85" s="64">
        <f>SUM(D85:X85)</f>
        <v>4290.9</v>
      </c>
      <c r="AA85" s="68">
        <f>B85+C85-Z85</f>
        <v>4644.9000000000015</v>
      </c>
    </row>
    <row r="86" spans="1:27" ht="12.75">
      <c r="A86" s="1" t="s">
        <v>28</v>
      </c>
      <c r="B86" s="2">
        <f aca="true" t="shared" si="14" ref="B86:X86">B80-B81-B82-B83-B84-B85</f>
        <v>111389.69999999991</v>
      </c>
      <c r="C86" s="2">
        <f t="shared" si="14"/>
        <v>60506.69999999998</v>
      </c>
      <c r="D86" s="81">
        <f t="shared" si="14"/>
        <v>5180.399999999999</v>
      </c>
      <c r="E86" s="81">
        <f t="shared" si="14"/>
        <v>21301.7</v>
      </c>
      <c r="F86" s="81">
        <f t="shared" si="14"/>
        <v>151.10000000000002</v>
      </c>
      <c r="G86" s="81">
        <f t="shared" si="14"/>
        <v>1188.1</v>
      </c>
      <c r="H86" s="81">
        <f t="shared" si="14"/>
        <v>0</v>
      </c>
      <c r="I86" s="81">
        <f t="shared" si="14"/>
        <v>15856.399999999998</v>
      </c>
      <c r="J86" s="81">
        <f t="shared" si="14"/>
        <v>16965</v>
      </c>
      <c r="K86" s="81">
        <f t="shared" si="14"/>
        <v>2570.5</v>
      </c>
      <c r="L86" s="81">
        <f t="shared" si="14"/>
        <v>704.5000000000002</v>
      </c>
      <c r="M86" s="87">
        <f t="shared" si="14"/>
        <v>1972.0000000000014</v>
      </c>
      <c r="N86" s="81">
        <f t="shared" si="14"/>
        <v>9964.9</v>
      </c>
      <c r="O86" s="81">
        <f t="shared" si="14"/>
        <v>3030.9</v>
      </c>
      <c r="P86" s="81">
        <f t="shared" si="14"/>
        <v>4545.8</v>
      </c>
      <c r="Q86" s="81">
        <f t="shared" si="14"/>
        <v>0</v>
      </c>
      <c r="R86" s="81">
        <f t="shared" si="14"/>
        <v>8326.9</v>
      </c>
      <c r="S86" s="81">
        <f t="shared" si="14"/>
        <v>583.0999999999985</v>
      </c>
      <c r="T86" s="81">
        <f t="shared" si="14"/>
        <v>7441.300000000002</v>
      </c>
      <c r="U86" s="81">
        <f t="shared" si="14"/>
        <v>1220.2999999999997</v>
      </c>
      <c r="V86" s="81">
        <f t="shared" si="14"/>
        <v>1606.6000000000017</v>
      </c>
      <c r="W86" s="81">
        <f t="shared" si="14"/>
        <v>2777</v>
      </c>
      <c r="X86" s="81">
        <f t="shared" si="14"/>
        <v>3333</v>
      </c>
      <c r="Y86" s="81"/>
      <c r="Z86" s="81">
        <f>Z80-Z81-Z82-Z83-Z84-Z85</f>
        <v>108719.50000000003</v>
      </c>
      <c r="AA86" s="81">
        <f>AA80-AA81-AA82-AA83-AA84-AA85</f>
        <v>63176.899999999885</v>
      </c>
    </row>
    <row r="87" spans="1:27" s="31" customFormat="1" ht="15">
      <c r="A87" s="29"/>
      <c r="B87" s="30"/>
      <c r="C87" s="30"/>
      <c r="M87" s="88"/>
      <c r="Y87" s="30"/>
      <c r="Z87" s="30"/>
      <c r="AA87" s="30"/>
    </row>
    <row r="88" spans="1:27" s="17" customFormat="1" ht="18">
      <c r="A88" s="27"/>
      <c r="B88" s="16"/>
      <c r="C88" s="16"/>
      <c r="D88" s="53"/>
      <c r="E88" s="53"/>
      <c r="F88" s="53"/>
      <c r="G88" s="53"/>
      <c r="H88" s="53"/>
      <c r="I88" s="53"/>
      <c r="J88" s="53"/>
      <c r="K88" s="53"/>
      <c r="L88" s="53"/>
      <c r="M88" s="89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16"/>
      <c r="Z88" s="16"/>
      <c r="AA88" s="16"/>
    </row>
    <row r="89" spans="1:27" s="44" customFormat="1" ht="15">
      <c r="A89" s="41"/>
      <c r="B89" s="42"/>
      <c r="C89" s="42"/>
      <c r="D89" s="43"/>
      <c r="E89" s="43"/>
      <c r="F89" s="43"/>
      <c r="G89" s="43"/>
      <c r="H89" s="43"/>
      <c r="I89" s="43"/>
      <c r="J89" s="43"/>
      <c r="K89" s="43"/>
      <c r="L89" s="43"/>
      <c r="M89" s="90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2"/>
      <c r="Z89" s="42"/>
      <c r="AA89" s="42"/>
    </row>
    <row r="90" spans="1:27" ht="12.75">
      <c r="A90" s="1"/>
      <c r="B90" s="2"/>
      <c r="C90" s="2"/>
      <c r="D90" s="2"/>
      <c r="E90" s="2"/>
      <c r="F90" s="2"/>
      <c r="G90" s="2"/>
      <c r="H90" s="2"/>
      <c r="I90" s="2"/>
      <c r="J90" s="20"/>
      <c r="K90" s="2"/>
      <c r="L90" s="2"/>
      <c r="M90" s="20"/>
      <c r="N90" s="2"/>
      <c r="O90" s="2"/>
      <c r="P90" s="2"/>
      <c r="Q90" s="2"/>
      <c r="R90" s="2"/>
      <c r="S90" s="20"/>
      <c r="T90" s="20"/>
      <c r="U90" s="2"/>
      <c r="V90" s="2"/>
      <c r="W90" s="2"/>
      <c r="X90" s="20"/>
      <c r="Y90" s="2"/>
      <c r="Z90" s="2"/>
      <c r="AA90" s="2"/>
    </row>
    <row r="91" spans="1:27" ht="12.75">
      <c r="A91" s="1"/>
      <c r="B91" s="2"/>
      <c r="C91" s="2"/>
      <c r="D91" s="2"/>
      <c r="E91" s="2"/>
      <c r="F91" s="2"/>
      <c r="G91" s="2"/>
      <c r="H91" s="2"/>
      <c r="I91" s="2"/>
      <c r="J91" s="20"/>
      <c r="K91" s="2"/>
      <c r="L91" s="2"/>
      <c r="M91" s="20"/>
      <c r="N91" s="2"/>
      <c r="O91" s="2"/>
      <c r="P91" s="2"/>
      <c r="Q91" s="2"/>
      <c r="R91" s="2"/>
      <c r="S91" s="20"/>
      <c r="T91" s="20"/>
      <c r="U91" s="2"/>
      <c r="V91" s="2"/>
      <c r="W91" s="2"/>
      <c r="X91" s="20"/>
      <c r="Y91" s="2"/>
      <c r="Z91" s="2"/>
      <c r="AA91" s="2"/>
    </row>
    <row r="92" spans="2:27" ht="12.75">
      <c r="B92" s="6"/>
      <c r="C92" s="6"/>
      <c r="D92" s="6"/>
      <c r="E92" s="6"/>
      <c r="F92" s="6"/>
      <c r="G92" s="6"/>
      <c r="H92" s="6"/>
      <c r="I92" s="6"/>
      <c r="J92" s="21"/>
      <c r="K92" s="6"/>
      <c r="L92" s="6"/>
      <c r="M92" s="21"/>
      <c r="N92" s="6"/>
      <c r="O92" s="6"/>
      <c r="P92" s="6"/>
      <c r="Q92" s="6"/>
      <c r="R92" s="6"/>
      <c r="S92" s="21"/>
      <c r="T92" s="21"/>
      <c r="U92" s="6"/>
      <c r="V92" s="6"/>
      <c r="W92" s="6"/>
      <c r="X92" s="21"/>
      <c r="Y92" s="6"/>
      <c r="Z92" s="6"/>
      <c r="AA92" s="6"/>
    </row>
    <row r="93" spans="2:27" ht="12.75">
      <c r="B93" s="6"/>
      <c r="C93" s="6"/>
      <c r="D93" s="6"/>
      <c r="E93" s="6"/>
      <c r="F93" s="6"/>
      <c r="G93" s="6"/>
      <c r="H93" s="6"/>
      <c r="I93" s="6"/>
      <c r="J93" s="21"/>
      <c r="K93" s="6"/>
      <c r="L93" s="6"/>
      <c r="M93" s="21"/>
      <c r="N93" s="6"/>
      <c r="O93" s="6"/>
      <c r="P93" s="6"/>
      <c r="Q93" s="6"/>
      <c r="R93" s="6"/>
      <c r="S93" s="21"/>
      <c r="T93" s="21"/>
      <c r="U93" s="6"/>
      <c r="V93" s="6"/>
      <c r="W93" s="6"/>
      <c r="X93" s="21"/>
      <c r="Y93" s="6"/>
      <c r="Z93" s="6"/>
      <c r="AA93" s="6"/>
    </row>
    <row r="94" spans="2:27" ht="12.75">
      <c r="B94" s="6"/>
      <c r="C94" s="6"/>
      <c r="D94" s="6"/>
      <c r="E94" s="6"/>
      <c r="F94" s="6"/>
      <c r="G94" s="6"/>
      <c r="H94" s="6"/>
      <c r="I94" s="6"/>
      <c r="J94" s="21"/>
      <c r="K94" s="6"/>
      <c r="L94" s="6"/>
      <c r="M94" s="21"/>
      <c r="N94" s="6"/>
      <c r="O94" s="6"/>
      <c r="P94" s="6"/>
      <c r="Q94" s="6"/>
      <c r="R94" s="6"/>
      <c r="S94" s="21"/>
      <c r="T94" s="21"/>
      <c r="U94" s="6"/>
      <c r="V94" s="6"/>
      <c r="W94" s="6"/>
      <c r="X94" s="21"/>
      <c r="Y94" s="6"/>
      <c r="Z94" s="6"/>
      <c r="AA94" s="6"/>
    </row>
    <row r="95" spans="2:27" ht="12.75">
      <c r="B95" s="6"/>
      <c r="C95" s="6"/>
      <c r="D95" s="6"/>
      <c r="E95" s="6"/>
      <c r="F95" s="6"/>
      <c r="G95" s="6"/>
      <c r="H95" s="6"/>
      <c r="I95" s="6"/>
      <c r="J95" s="21"/>
      <c r="K95" s="6"/>
      <c r="L95" s="6"/>
      <c r="M95" s="21"/>
      <c r="N95" s="6"/>
      <c r="O95" s="6"/>
      <c r="P95" s="6"/>
      <c r="Q95" s="6"/>
      <c r="R95" s="6"/>
      <c r="S95" s="21"/>
      <c r="T95" s="21"/>
      <c r="U95" s="6"/>
      <c r="V95" s="6"/>
      <c r="W95" s="6"/>
      <c r="X95" s="21"/>
      <c r="Y95" s="6"/>
      <c r="Z95" s="6"/>
      <c r="AA95" s="6"/>
    </row>
    <row r="96" spans="2:27" ht="12.75">
      <c r="B96" s="6"/>
      <c r="C96" s="6"/>
      <c r="D96" s="6"/>
      <c r="E96" s="6"/>
      <c r="F96" s="6"/>
      <c r="G96" s="6"/>
      <c r="H96" s="6"/>
      <c r="I96" s="6"/>
      <c r="J96" s="21"/>
      <c r="K96" s="6"/>
      <c r="L96" s="6"/>
      <c r="M96" s="21"/>
      <c r="N96" s="6"/>
      <c r="O96" s="6"/>
      <c r="P96" s="6"/>
      <c r="Q96" s="6"/>
      <c r="R96" s="6"/>
      <c r="S96" s="21"/>
      <c r="T96" s="21"/>
      <c r="U96" s="6"/>
      <c r="V96" s="6"/>
      <c r="W96" s="6"/>
      <c r="X96" s="21"/>
      <c r="Y96" s="6"/>
      <c r="Z96" s="6"/>
      <c r="AA96" s="6"/>
    </row>
    <row r="97" spans="2:27" ht="12.75">
      <c r="B97" s="6"/>
      <c r="C97" s="6"/>
      <c r="D97" s="6"/>
      <c r="E97" s="6"/>
      <c r="F97" s="6"/>
      <c r="G97" s="6"/>
      <c r="H97" s="6"/>
      <c r="I97" s="6"/>
      <c r="J97" s="21"/>
      <c r="K97" s="6"/>
      <c r="L97" s="6"/>
      <c r="M97" s="21"/>
      <c r="N97" s="6"/>
      <c r="O97" s="6"/>
      <c r="P97" s="6"/>
      <c r="Q97" s="6"/>
      <c r="R97" s="6"/>
      <c r="S97" s="21"/>
      <c r="T97" s="21"/>
      <c r="U97" s="6"/>
      <c r="V97" s="6"/>
      <c r="W97" s="6"/>
      <c r="X97" s="21"/>
      <c r="Y97" s="6"/>
      <c r="Z97" s="6"/>
      <c r="AA97" s="6"/>
    </row>
    <row r="98" spans="2:27" ht="12.75">
      <c r="B98" s="6"/>
      <c r="C98" s="6"/>
      <c r="D98" s="6"/>
      <c r="E98" s="6"/>
      <c r="F98" s="6"/>
      <c r="G98" s="6"/>
      <c r="H98" s="6"/>
      <c r="I98" s="6"/>
      <c r="J98" s="21"/>
      <c r="K98" s="6"/>
      <c r="L98" s="6"/>
      <c r="M98" s="21"/>
      <c r="N98" s="6"/>
      <c r="O98" s="6"/>
      <c r="P98" s="6"/>
      <c r="Q98" s="6"/>
      <c r="R98" s="6"/>
      <c r="S98" s="21"/>
      <c r="T98" s="21"/>
      <c r="U98" s="6"/>
      <c r="V98" s="6"/>
      <c r="W98" s="6"/>
      <c r="X98" s="21"/>
      <c r="Y98" s="6"/>
      <c r="Z98" s="6"/>
      <c r="AA98" s="6"/>
    </row>
    <row r="99" spans="2:27" ht="12.75">
      <c r="B99" s="6"/>
      <c r="C99" s="6"/>
      <c r="D99" s="6"/>
      <c r="E99" s="6"/>
      <c r="F99" s="6"/>
      <c r="G99" s="6"/>
      <c r="H99" s="6"/>
      <c r="I99" s="6"/>
      <c r="J99" s="21"/>
      <c r="K99" s="6"/>
      <c r="L99" s="6"/>
      <c r="M99" s="21"/>
      <c r="N99" s="6"/>
      <c r="O99" s="6"/>
      <c r="P99" s="6"/>
      <c r="Q99" s="6"/>
      <c r="R99" s="6"/>
      <c r="S99" s="21"/>
      <c r="T99" s="21"/>
      <c r="U99" s="6"/>
      <c r="V99" s="6"/>
      <c r="W99" s="6"/>
      <c r="X99" s="21"/>
      <c r="Y99" s="6"/>
      <c r="Z99" s="6"/>
      <c r="AA99" s="6"/>
    </row>
    <row r="100" spans="2:27" ht="12.75">
      <c r="B100" s="6"/>
      <c r="C100" s="6"/>
      <c r="D100" s="6"/>
      <c r="E100" s="6"/>
      <c r="F100" s="6"/>
      <c r="G100" s="6"/>
      <c r="H100" s="6"/>
      <c r="I100" s="6"/>
      <c r="J100" s="21"/>
      <c r="K100" s="6"/>
      <c r="L100" s="6"/>
      <c r="M100" s="21"/>
      <c r="N100" s="6"/>
      <c r="O100" s="6"/>
      <c r="P100" s="6"/>
      <c r="Q100" s="6"/>
      <c r="R100" s="6"/>
      <c r="S100" s="21"/>
      <c r="T100" s="21"/>
      <c r="U100" s="6"/>
      <c r="V100" s="6"/>
      <c r="W100" s="6"/>
      <c r="X100" s="21"/>
      <c r="Y100" s="6"/>
      <c r="Z100" s="6"/>
      <c r="AA100" s="6"/>
    </row>
    <row r="101" spans="2:27" ht="12.75">
      <c r="B101" s="6"/>
      <c r="C101" s="6"/>
      <c r="D101" s="6"/>
      <c r="E101" s="6"/>
      <c r="F101" s="6"/>
      <c r="G101" s="6"/>
      <c r="H101" s="6"/>
      <c r="I101" s="6"/>
      <c r="J101" s="21"/>
      <c r="K101" s="6"/>
      <c r="L101" s="6"/>
      <c r="M101" s="21"/>
      <c r="N101" s="6"/>
      <c r="O101" s="6"/>
      <c r="P101" s="6"/>
      <c r="Q101" s="6"/>
      <c r="R101" s="6"/>
      <c r="S101" s="21"/>
      <c r="T101" s="21"/>
      <c r="U101" s="6"/>
      <c r="V101" s="6"/>
      <c r="W101" s="6"/>
      <c r="X101" s="21"/>
      <c r="Y101" s="6"/>
      <c r="Z101" s="6"/>
      <c r="AA101" s="6"/>
    </row>
    <row r="102" spans="2:27" ht="12.75">
      <c r="B102" s="6"/>
      <c r="C102" s="6"/>
      <c r="D102" s="6"/>
      <c r="E102" s="6"/>
      <c r="F102" s="6"/>
      <c r="G102" s="6"/>
      <c r="H102" s="6"/>
      <c r="I102" s="6"/>
      <c r="J102" s="21"/>
      <c r="K102" s="6"/>
      <c r="L102" s="6"/>
      <c r="M102" s="21"/>
      <c r="N102" s="6"/>
      <c r="O102" s="6"/>
      <c r="P102" s="6"/>
      <c r="Q102" s="6"/>
      <c r="R102" s="6"/>
      <c r="S102" s="21"/>
      <c r="T102" s="21"/>
      <c r="U102" s="6"/>
      <c r="V102" s="6"/>
      <c r="W102" s="6"/>
      <c r="X102" s="21"/>
      <c r="Y102" s="6"/>
      <c r="Z102" s="6"/>
      <c r="AA102" s="6"/>
    </row>
    <row r="103" spans="2:27" ht="12.75">
      <c r="B103" s="6"/>
      <c r="C103" s="6"/>
      <c r="D103" s="6"/>
      <c r="E103" s="6"/>
      <c r="F103" s="6"/>
      <c r="G103" s="6"/>
      <c r="H103" s="6"/>
      <c r="I103" s="6"/>
      <c r="J103" s="21"/>
      <c r="K103" s="6"/>
      <c r="L103" s="6"/>
      <c r="M103" s="21"/>
      <c r="N103" s="6"/>
      <c r="O103" s="6"/>
      <c r="P103" s="6"/>
      <c r="Q103" s="6"/>
      <c r="R103" s="6"/>
      <c r="S103" s="21"/>
      <c r="T103" s="21"/>
      <c r="U103" s="6"/>
      <c r="V103" s="6"/>
      <c r="W103" s="6"/>
      <c r="X103" s="21"/>
      <c r="Y103" s="6"/>
      <c r="Z103" s="6"/>
      <c r="AA103" s="6"/>
    </row>
    <row r="104" spans="2:27" ht="12.75">
      <c r="B104" s="6"/>
      <c r="C104" s="6"/>
      <c r="D104" s="6"/>
      <c r="E104" s="6"/>
      <c r="F104" s="6"/>
      <c r="G104" s="6"/>
      <c r="H104" s="6"/>
      <c r="I104" s="6"/>
      <c r="J104" s="21"/>
      <c r="K104" s="6"/>
      <c r="L104" s="6"/>
      <c r="M104" s="21"/>
      <c r="N104" s="6"/>
      <c r="O104" s="6"/>
      <c r="P104" s="6"/>
      <c r="Q104" s="6"/>
      <c r="R104" s="6"/>
      <c r="S104" s="21"/>
      <c r="T104" s="21"/>
      <c r="U104" s="6"/>
      <c r="V104" s="6"/>
      <c r="W104" s="6"/>
      <c r="X104" s="21"/>
      <c r="Y104" s="6"/>
      <c r="Z104" s="6"/>
      <c r="AA104" s="6"/>
    </row>
    <row r="105" spans="2:27" ht="12.75">
      <c r="B105" s="6"/>
      <c r="C105" s="6"/>
      <c r="D105" s="6"/>
      <c r="E105" s="6"/>
      <c r="F105" s="6"/>
      <c r="G105" s="6"/>
      <c r="H105" s="6"/>
      <c r="I105" s="6"/>
      <c r="J105" s="21"/>
      <c r="K105" s="6"/>
      <c r="L105" s="6"/>
      <c r="M105" s="21"/>
      <c r="N105" s="6"/>
      <c r="O105" s="6"/>
      <c r="P105" s="6"/>
      <c r="Q105" s="6"/>
      <c r="R105" s="6"/>
      <c r="S105" s="21"/>
      <c r="T105" s="21"/>
      <c r="U105" s="6"/>
      <c r="V105" s="6"/>
      <c r="W105" s="6"/>
      <c r="X105" s="21"/>
      <c r="Y105" s="6"/>
      <c r="Z105" s="6"/>
      <c r="AA105" s="6"/>
    </row>
    <row r="106" spans="2:27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6"/>
      <c r="Z106" s="6"/>
      <c r="AA106" s="6"/>
    </row>
    <row r="107" spans="2:27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6"/>
      <c r="Z107" s="6"/>
      <c r="AA107" s="6"/>
    </row>
    <row r="108" spans="2:27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6"/>
      <c r="Z108" s="6"/>
      <c r="AA108" s="6"/>
    </row>
    <row r="109" spans="2:27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6"/>
      <c r="Z109" s="6"/>
      <c r="AA109" s="6"/>
    </row>
    <row r="110" spans="2:27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6"/>
      <c r="Z110" s="6"/>
      <c r="AA110" s="6"/>
    </row>
    <row r="111" spans="2:27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6"/>
      <c r="Z111" s="6"/>
      <c r="AA111" s="6"/>
    </row>
    <row r="112" spans="2:27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6"/>
      <c r="Z112" s="6"/>
      <c r="AA112" s="6"/>
    </row>
    <row r="113" spans="2:27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6"/>
      <c r="Z113" s="6"/>
      <c r="AA113" s="6"/>
    </row>
    <row r="114" spans="2:27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6"/>
      <c r="Z114" s="6"/>
      <c r="AA114" s="6"/>
    </row>
    <row r="115" spans="2:27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6"/>
      <c r="Z115" s="6"/>
      <c r="AA115" s="6"/>
    </row>
    <row r="116" spans="2:27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6"/>
      <c r="Z116" s="6"/>
      <c r="AA116" s="6"/>
    </row>
    <row r="117" spans="2:27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6"/>
      <c r="Z117" s="6"/>
      <c r="AA117" s="6"/>
    </row>
    <row r="118" spans="2:27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6"/>
      <c r="Z118" s="6"/>
      <c r="AA118" s="6"/>
    </row>
    <row r="119" spans="2:27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6"/>
      <c r="Z119" s="6"/>
      <c r="AA119" s="6"/>
    </row>
    <row r="120" spans="2:27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6"/>
      <c r="Z120" s="6"/>
      <c r="AA120" s="6"/>
    </row>
    <row r="121" spans="2:27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6"/>
      <c r="Z121" s="6"/>
      <c r="AA121" s="6"/>
    </row>
    <row r="122" spans="2:27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6"/>
      <c r="Z122" s="6"/>
      <c r="AA122" s="6"/>
    </row>
    <row r="123" spans="2:27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6"/>
      <c r="Z123" s="6"/>
      <c r="AA123" s="6"/>
    </row>
    <row r="124" spans="2:27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6"/>
      <c r="Z124" s="6"/>
      <c r="AA124" s="6"/>
    </row>
    <row r="165" spans="19:24" ht="12.75">
      <c r="S165" s="25"/>
      <c r="T165" s="25"/>
      <c r="U165" s="26"/>
      <c r="V165" s="26"/>
      <c r="W165" s="26"/>
      <c r="X165" s="25"/>
    </row>
    <row r="166" spans="19:24" ht="12.75">
      <c r="S166" s="25"/>
      <c r="T166" s="25"/>
      <c r="U166" s="26"/>
      <c r="V166" s="26"/>
      <c r="W166" s="26"/>
      <c r="X166" s="25"/>
    </row>
    <row r="167" spans="19:24" ht="12.75">
      <c r="S167" s="25"/>
      <c r="T167" s="25"/>
      <c r="U167" s="26"/>
      <c r="V167" s="26"/>
      <c r="W167" s="26"/>
      <c r="X167" s="25"/>
    </row>
    <row r="168" spans="19:24" ht="12.75">
      <c r="S168" s="25"/>
      <c r="T168" s="25"/>
      <c r="U168" s="26"/>
      <c r="V168" s="26"/>
      <c r="W168" s="26"/>
      <c r="X168" s="25"/>
    </row>
    <row r="169" spans="19:24" ht="12.75">
      <c r="S169" s="25"/>
      <c r="T169" s="25"/>
      <c r="U169" s="26"/>
      <c r="V169" s="26"/>
      <c r="W169" s="26"/>
      <c r="X169" s="25"/>
    </row>
    <row r="170" spans="19:24" ht="12.75">
      <c r="S170" s="25"/>
      <c r="T170" s="25"/>
      <c r="U170" s="26"/>
      <c r="V170" s="26"/>
      <c r="W170" s="26"/>
      <c r="X170" s="25"/>
    </row>
    <row r="171" spans="19:24" ht="12.75">
      <c r="S171" s="25"/>
      <c r="T171" s="25"/>
      <c r="U171" s="26"/>
      <c r="V171" s="26"/>
      <c r="W171" s="26"/>
      <c r="X171" s="25"/>
    </row>
    <row r="172" spans="19:24" ht="12.75">
      <c r="S172" s="25"/>
      <c r="T172" s="25"/>
      <c r="U172" s="26"/>
      <c r="V172" s="26"/>
      <c r="W172" s="26"/>
      <c r="X172" s="25"/>
    </row>
  </sheetData>
  <sheetProtection/>
  <mergeCells count="2">
    <mergeCell ref="A1:AA1"/>
    <mergeCell ref="A2:AA2"/>
  </mergeCells>
  <conditionalFormatting sqref="AA9:AA86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2020-05-04T05:46:46Z</cp:lastPrinted>
  <dcterms:created xsi:type="dcterms:W3CDTF">2002-11-05T08:53:00Z</dcterms:created>
  <dcterms:modified xsi:type="dcterms:W3CDTF">2020-05-05T09:15:37Z</dcterms:modified>
  <cp:category/>
  <cp:version/>
  <cp:contentType/>
  <cp:contentStatus/>
</cp:coreProperties>
</file>